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~2019 행정실 자료\학교운영위원회\2021년 9월 24일 임시회\"/>
    </mc:Choice>
  </mc:AlternateContent>
  <bookViews>
    <workbookView xWindow="600" yWindow="45" windowWidth="17520" windowHeight="7935" activeTab="3"/>
  </bookViews>
  <sheets>
    <sheet name="표지" sheetId="4" r:id="rId1"/>
    <sheet name="총칙" sheetId="5" r:id="rId2"/>
    <sheet name="세입" sheetId="1" r:id="rId3"/>
    <sheet name="세출" sheetId="2" r:id="rId4"/>
  </sheets>
  <definedNames>
    <definedName name="_xlnm.Print_Area" localSheetId="2">세입!$A$1:$J$88</definedName>
    <definedName name="_xlnm.Print_Area" localSheetId="3">세출!$A$1:$J$219</definedName>
    <definedName name="_xlnm.Print_Titles" localSheetId="2">세입!$4:$6</definedName>
    <definedName name="_xlnm.Print_Titles" localSheetId="3">세출!$2:$4</definedName>
  </definedNames>
  <calcPr calcId="152511" calcMode="manual"/>
</workbook>
</file>

<file path=xl/calcChain.xml><?xml version="1.0" encoding="utf-8"?>
<calcChain xmlns="http://schemas.openxmlformats.org/spreadsheetml/2006/main">
  <c r="I171" i="2" l="1"/>
  <c r="E18" i="1"/>
  <c r="I186" i="2"/>
  <c r="I189" i="2"/>
  <c r="I188" i="2"/>
  <c r="I179" i="2" l="1"/>
  <c r="I23" i="1"/>
  <c r="I158" i="2" l="1"/>
  <c r="I148" i="2"/>
  <c r="I144" i="2"/>
  <c r="I33" i="2"/>
  <c r="I84" i="2"/>
  <c r="I95" i="2"/>
  <c r="I47" i="1"/>
  <c r="I20" i="1" l="1"/>
  <c r="I19" i="1"/>
  <c r="F9" i="1"/>
  <c r="I14" i="1" l="1"/>
  <c r="I13" i="1"/>
  <c r="I9" i="2" l="1"/>
  <c r="I30" i="2"/>
  <c r="I31" i="2"/>
  <c r="I187" i="2" l="1"/>
  <c r="I207" i="2"/>
  <c r="I205" i="2"/>
  <c r="I31" i="1"/>
  <c r="I164" i="2" l="1"/>
  <c r="I150" i="2"/>
  <c r="I149" i="2" s="1"/>
  <c r="I147" i="2"/>
  <c r="I142" i="2"/>
  <c r="I137" i="2"/>
  <c r="I136" i="2"/>
  <c r="I134" i="2"/>
  <c r="I129" i="2"/>
  <c r="I127" i="2"/>
  <c r="I89" i="2"/>
  <c r="I112" i="2"/>
  <c r="I114" i="2"/>
  <c r="I122" i="2"/>
  <c r="I121" i="2"/>
  <c r="I117" i="2"/>
  <c r="I118" i="2"/>
  <c r="I78" i="2"/>
  <c r="I63" i="2"/>
  <c r="I64" i="2"/>
  <c r="I34" i="2"/>
  <c r="I203" i="2"/>
  <c r="I202" i="2"/>
  <c r="I52" i="2"/>
  <c r="I45" i="2"/>
  <c r="I28" i="2"/>
  <c r="I42" i="2"/>
  <c r="I39" i="2"/>
  <c r="I26" i="2"/>
  <c r="I15" i="2"/>
  <c r="I14" i="2"/>
  <c r="I41" i="1"/>
  <c r="I39" i="1"/>
  <c r="I37" i="1"/>
  <c r="I32" i="1" l="1"/>
  <c r="I33" i="1"/>
  <c r="I30" i="1"/>
  <c r="I28" i="1"/>
  <c r="I10" i="1" l="1"/>
  <c r="I18" i="1" l="1"/>
  <c r="I22" i="2" l="1"/>
  <c r="I20" i="2"/>
  <c r="I17" i="2"/>
  <c r="I16" i="2"/>
  <c r="I13" i="2"/>
  <c r="I11" i="2"/>
  <c r="I8" i="2"/>
  <c r="I29" i="2" l="1"/>
  <c r="I75" i="2"/>
  <c r="I48" i="2"/>
  <c r="I12" i="2"/>
  <c r="I11" i="1" l="1"/>
  <c r="I27" i="2" l="1"/>
  <c r="I83" i="2" l="1"/>
  <c r="I132" i="2" l="1"/>
  <c r="I131" i="2"/>
  <c r="I130" i="2"/>
  <c r="I47" i="2" l="1"/>
  <c r="I181" i="2" l="1"/>
  <c r="I200" i="2" l="1"/>
  <c r="I26" i="1"/>
  <c r="I135" i="2" l="1"/>
  <c r="I178" i="2" l="1"/>
  <c r="I35" i="2"/>
  <c r="I41" i="2"/>
  <c r="I32" i="2"/>
  <c r="I21" i="2" l="1"/>
  <c r="I212" i="2" l="1"/>
  <c r="I208" i="2" l="1"/>
  <c r="E208" i="2" s="1"/>
  <c r="E212" i="2"/>
  <c r="I82" i="2"/>
  <c r="I77" i="2"/>
  <c r="I72" i="2"/>
  <c r="I154" i="2" l="1"/>
  <c r="I27" i="1"/>
  <c r="I25" i="1"/>
  <c r="C165" i="2"/>
  <c r="I197" i="2" l="1"/>
  <c r="I194" i="2" s="1"/>
  <c r="I21" i="1" l="1"/>
  <c r="I40" i="2" l="1"/>
  <c r="I49" i="2" l="1"/>
  <c r="I77" i="1"/>
  <c r="I198" i="2" l="1"/>
  <c r="E194" i="2" s="1"/>
  <c r="I168" i="2"/>
  <c r="I156" i="2"/>
  <c r="I155" i="2"/>
  <c r="I153" i="2"/>
  <c r="I152" i="2"/>
  <c r="I81" i="2" l="1"/>
  <c r="I80" i="2"/>
  <c r="C174" i="2" l="1"/>
  <c r="I192" i="2"/>
  <c r="I190" i="2"/>
  <c r="I176" i="2"/>
  <c r="I159" i="2"/>
  <c r="I133" i="2"/>
  <c r="C7" i="1" l="1"/>
  <c r="C54" i="1"/>
  <c r="C65" i="1"/>
  <c r="I59" i="1"/>
  <c r="C73" i="1"/>
  <c r="C34" i="1"/>
  <c r="I63" i="1"/>
  <c r="I49" i="1"/>
  <c r="I45" i="1"/>
  <c r="I43" i="1"/>
  <c r="E43" i="1" s="1"/>
  <c r="C86" i="1" l="1"/>
  <c r="I12" i="1"/>
  <c r="E12" i="1" s="1"/>
  <c r="I61" i="1" l="1"/>
  <c r="I38" i="1" l="1"/>
  <c r="E38" i="1" s="1"/>
  <c r="I68" i="2" l="1"/>
  <c r="I69" i="2"/>
  <c r="I67" i="1" l="1"/>
  <c r="I145" i="2" l="1"/>
  <c r="I79" i="2"/>
  <c r="I151" i="2" l="1"/>
  <c r="I163" i="2" l="1"/>
  <c r="I25" i="2" l="1"/>
  <c r="E67" i="1" l="1"/>
  <c r="F67" i="1" s="1"/>
  <c r="I140" i="2" l="1"/>
  <c r="I40" i="1" l="1"/>
  <c r="I87" i="2"/>
  <c r="I86" i="2" s="1"/>
  <c r="I97" i="2"/>
  <c r="I206" i="2" l="1"/>
  <c r="I71" i="2" l="1"/>
  <c r="I126" i="2" l="1"/>
  <c r="I116" i="2"/>
  <c r="I109" i="2"/>
  <c r="I106" i="2"/>
  <c r="I107" i="2"/>
  <c r="I108" i="2"/>
  <c r="I101" i="2"/>
  <c r="I104" i="2"/>
  <c r="I103" i="2"/>
  <c r="I102" i="2"/>
  <c r="I105" i="2" l="1"/>
  <c r="I60" i="1" l="1"/>
  <c r="E60" i="1" s="1"/>
  <c r="I167" i="2" l="1"/>
  <c r="E167" i="2" s="1"/>
  <c r="E165" i="2" s="1"/>
  <c r="E171" i="2" l="1"/>
  <c r="F171" i="2" l="1"/>
  <c r="E169" i="2"/>
  <c r="I201" i="2"/>
  <c r="E176" i="2" l="1"/>
  <c r="I128" i="2" l="1"/>
  <c r="I204" i="2" l="1"/>
  <c r="I74" i="2" l="1"/>
  <c r="I93" i="2"/>
  <c r="I90" i="2"/>
  <c r="I88" i="2" l="1"/>
  <c r="I67" i="2"/>
  <c r="I66" i="2"/>
  <c r="I9" i="1" l="1"/>
  <c r="E9" i="1" s="1"/>
  <c r="I96" i="2"/>
  <c r="I7" i="2" l="1"/>
  <c r="I100" i="2"/>
  <c r="I46" i="2"/>
  <c r="I113" i="2"/>
  <c r="I124" i="2"/>
  <c r="I19" i="2" l="1"/>
  <c r="I56" i="2" l="1"/>
  <c r="I55" i="2" s="1"/>
  <c r="I51" i="2" l="1"/>
  <c r="E49" i="2" s="1"/>
  <c r="I120" i="2" l="1"/>
  <c r="C5" i="2"/>
  <c r="F165" i="2"/>
  <c r="C169" i="2"/>
  <c r="C53" i="2"/>
  <c r="F169" i="2" l="1"/>
  <c r="C218" i="2"/>
  <c r="I10" i="2" l="1"/>
  <c r="E7" i="2" s="1"/>
  <c r="I111" i="2"/>
  <c r="I76" i="2"/>
  <c r="I73" i="2"/>
  <c r="I162" i="2"/>
  <c r="I141" i="2" l="1"/>
  <c r="I44" i="2" l="1"/>
  <c r="I38" i="2"/>
  <c r="I37" i="2" s="1"/>
  <c r="I29" i="1"/>
  <c r="F18" i="1" l="1"/>
  <c r="I139" i="2"/>
  <c r="I146" i="2"/>
  <c r="I143" i="2" s="1"/>
  <c r="E201" i="2"/>
  <c r="E139" i="2" l="1"/>
  <c r="I185" i="2" l="1"/>
  <c r="E185" i="2" s="1"/>
  <c r="E174" i="2" l="1"/>
  <c r="F183" i="2"/>
  <c r="F176" i="2"/>
  <c r="F185" i="2" l="1"/>
  <c r="F167" i="2"/>
  <c r="E162" i="2"/>
  <c r="F162" i="2" s="1"/>
  <c r="F194" i="2" l="1"/>
  <c r="F139" i="2"/>
  <c r="I98" i="2"/>
  <c r="E88" i="2" s="1"/>
  <c r="I70" i="2"/>
  <c r="I36" i="1"/>
  <c r="E36" i="1" l="1"/>
  <c r="F36" i="1" s="1"/>
  <c r="E55" i="2"/>
  <c r="E53" i="2" s="1"/>
  <c r="I24" i="2"/>
  <c r="E24" i="2" s="1"/>
  <c r="E5" i="2" s="1"/>
  <c r="F174" i="2"/>
  <c r="F201" i="2"/>
  <c r="E84" i="1"/>
  <c r="F84" i="1" s="1"/>
  <c r="E82" i="1"/>
  <c r="F77" i="1"/>
  <c r="E75" i="1"/>
  <c r="E71" i="1"/>
  <c r="F71" i="1" s="1"/>
  <c r="E69" i="1"/>
  <c r="F69" i="1" s="1"/>
  <c r="F60" i="1"/>
  <c r="E49" i="1"/>
  <c r="E47" i="1"/>
  <c r="F47" i="1" s="1"/>
  <c r="E45" i="1"/>
  <c r="F43" i="1"/>
  <c r="E40" i="1"/>
  <c r="F40" i="1" s="1"/>
  <c r="E16" i="1"/>
  <c r="F16" i="1" s="1"/>
  <c r="I58" i="1"/>
  <c r="F55" i="2" l="1"/>
  <c r="F5" i="2"/>
  <c r="F45" i="1"/>
  <c r="E34" i="1"/>
  <c r="F88" i="2"/>
  <c r="E218" i="2"/>
  <c r="F38" i="1"/>
  <c r="F24" i="2"/>
  <c r="F49" i="1"/>
  <c r="F49" i="2"/>
  <c r="I56" i="1"/>
  <c r="F218" i="2" l="1"/>
  <c r="E56" i="1"/>
  <c r="E54" i="1" s="1"/>
  <c r="F34" i="1"/>
  <c r="F53" i="2"/>
  <c r="F56" i="1" l="1"/>
  <c r="F54" i="1" s="1"/>
  <c r="E7" i="1" l="1"/>
  <c r="F7" i="2"/>
  <c r="F12" i="1" l="1"/>
  <c r="E65" i="1" l="1"/>
  <c r="F75" i="1"/>
  <c r="E73" i="1"/>
  <c r="E86" i="1" s="1"/>
  <c r="F86" i="1" s="1"/>
  <c r="F82" i="1"/>
  <c r="F73" i="1" l="1"/>
  <c r="F7" i="1"/>
</calcChain>
</file>

<file path=xl/sharedStrings.xml><?xml version="1.0" encoding="utf-8"?>
<sst xmlns="http://schemas.openxmlformats.org/spreadsheetml/2006/main" count="523" uniqueCount="344">
  <si>
    <t>□ 세입</t>
  </si>
  <si>
    <t>구  분</t>
  </si>
  <si>
    <t>(Y-1)예산</t>
  </si>
  <si>
    <t>(A)</t>
  </si>
  <si>
    <t>(Y-2)결산</t>
  </si>
  <si>
    <t>(B)</t>
  </si>
  <si>
    <t>(Y)예산</t>
  </si>
  <si>
    <t>(C)</t>
  </si>
  <si>
    <t>증감</t>
  </si>
  <si>
    <t>(C-A)</t>
  </si>
  <si>
    <t>비고</t>
  </si>
  <si>
    <t>학부모부담수입</t>
  </si>
  <si>
    <t>수익자부담경비</t>
  </si>
  <si>
    <t>교육부지원금</t>
  </si>
  <si>
    <t>시설(대수선)비</t>
  </si>
  <si>
    <t>자체수입</t>
  </si>
  <si>
    <t>전입금 및 지원금</t>
  </si>
  <si>
    <t>기타수입</t>
  </si>
  <si>
    <t>합  계</t>
  </si>
  <si>
    <t xml:space="preserve">  </t>
  </si>
  <si>
    <t>□ 세출</t>
  </si>
  <si>
    <t>인건비</t>
  </si>
  <si>
    <t>학교운영비</t>
  </si>
  <si>
    <t>  - 학생복리비</t>
  </si>
  <si>
    <t>자산취득비</t>
  </si>
  <si>
    <t>예비비및기타</t>
  </si>
  <si>
    <t>합 계</t>
  </si>
  <si>
    <t>=</t>
    <phoneticPr fontId="6" type="noConversion"/>
  </si>
  <si>
    <t>비고</t>
    <phoneticPr fontId="6" type="noConversion"/>
  </si>
  <si>
    <t>산출기초(단위: NTD)</t>
    <phoneticPr fontId="6" type="noConversion"/>
  </si>
  <si>
    <t>1. 교과활동지원</t>
    <phoneticPr fontId="6" type="noConversion"/>
  </si>
  <si>
    <t xml:space="preserve">   ·</t>
    <phoneticPr fontId="6" type="noConversion"/>
  </si>
  <si>
    <t>1. 학생보건안전관리</t>
    <phoneticPr fontId="6" type="noConversion"/>
  </si>
  <si>
    <t>2. 학교환경위생관리</t>
    <phoneticPr fontId="6" type="noConversion"/>
  </si>
  <si>
    <t>=</t>
    <phoneticPr fontId="6" type="noConversion"/>
  </si>
  <si>
    <t>1. 수련활동비</t>
    <phoneticPr fontId="6" type="noConversion"/>
  </si>
  <si>
    <t>1. 통학차량 운영</t>
    <phoneticPr fontId="6" type="noConversion"/>
  </si>
  <si>
    <t>1. 예비비</t>
    <phoneticPr fontId="6" type="noConversion"/>
  </si>
  <si>
    <t>1. 다음연도 이월금</t>
    <phoneticPr fontId="6" type="noConversion"/>
  </si>
  <si>
    <t>1. 적립금</t>
    <phoneticPr fontId="6" type="noConversion"/>
  </si>
  <si>
    <t>1. 환차손</t>
    <phoneticPr fontId="6" type="noConversion"/>
  </si>
  <si>
    <t>1. 기본급</t>
    <phoneticPr fontId="6" type="noConversion"/>
  </si>
  <si>
    <t>- 퇴직적립금</t>
    <phoneticPr fontId="6" type="noConversion"/>
  </si>
  <si>
    <t>- 일반운영비</t>
    <phoneticPr fontId="6" type="noConversion"/>
  </si>
  <si>
    <t>- 교수학습
활동비</t>
    <phoneticPr fontId="6" type="noConversion"/>
  </si>
  <si>
    <t>- 자산취득비</t>
    <phoneticPr fontId="6" type="noConversion"/>
  </si>
  <si>
    <t>- 시설비</t>
    <phoneticPr fontId="6" type="noConversion"/>
  </si>
  <si>
    <t>- 현장학습비</t>
    <phoneticPr fontId="6" type="noConversion"/>
  </si>
  <si>
    <t>- 학교급식비</t>
    <phoneticPr fontId="6" type="noConversion"/>
  </si>
  <si>
    <t>- 방과후학교교육활동비</t>
    <phoneticPr fontId="6" type="noConversion"/>
  </si>
  <si>
    <t>- 예비비</t>
    <phoneticPr fontId="6" type="noConversion"/>
  </si>
  <si>
    <t>- 다음연도이월금</t>
    <phoneticPr fontId="6" type="noConversion"/>
  </si>
  <si>
    <t>- 적립금</t>
    <phoneticPr fontId="6" type="noConversion"/>
  </si>
  <si>
    <t>- 환차손</t>
    <phoneticPr fontId="6" type="noConversion"/>
  </si>
  <si>
    <t>2. 수당</t>
    <phoneticPr fontId="6" type="noConversion"/>
  </si>
  <si>
    <t>3. 복리후생비</t>
    <phoneticPr fontId="6" type="noConversion"/>
  </si>
  <si>
    <t>1. 입학금</t>
    <phoneticPr fontId="6" type="noConversion"/>
  </si>
  <si>
    <t>- 입학금</t>
    <phoneticPr fontId="6" type="noConversion"/>
  </si>
  <si>
    <t>- 수업료</t>
    <phoneticPr fontId="6" type="noConversion"/>
  </si>
  <si>
    <t>- 학교운영지원비</t>
    <phoneticPr fontId="6" type="noConversion"/>
  </si>
  <si>
    <t>- 수익자부담경비</t>
    <phoneticPr fontId="6" type="noConversion"/>
  </si>
  <si>
    <t>2. 지난년도 수업료</t>
    <phoneticPr fontId="6" type="noConversion"/>
  </si>
  <si>
    <t>- 현재채용교직원인건비</t>
    <phoneticPr fontId="6" type="noConversion"/>
  </si>
  <si>
    <t>- 운영비</t>
    <phoneticPr fontId="6" type="noConversion"/>
  </si>
  <si>
    <t>- 임차료</t>
    <phoneticPr fontId="6" type="noConversion"/>
  </si>
  <si>
    <t>- 저소득층자녀지원</t>
    <phoneticPr fontId="6" type="noConversion"/>
  </si>
  <si>
    <t>- 방과후학교지원</t>
    <phoneticPr fontId="6" type="noConversion"/>
  </si>
  <si>
    <t>- 시설(대수선)비</t>
    <phoneticPr fontId="6" type="noConversion"/>
  </si>
  <si>
    <t>- 학교발전기금전입금</t>
    <phoneticPr fontId="6" type="noConversion"/>
  </si>
  <si>
    <t>- 법인전입금</t>
    <phoneticPr fontId="6" type="noConversion"/>
  </si>
  <si>
    <t>- 기타지원금</t>
    <phoneticPr fontId="6" type="noConversion"/>
  </si>
  <si>
    <t>- 과년도 수입</t>
    <phoneticPr fontId="6" type="noConversion"/>
  </si>
  <si>
    <t>- 이월금</t>
    <phoneticPr fontId="6" type="noConversion"/>
  </si>
  <si>
    <t>- 환차익</t>
    <phoneticPr fontId="6" type="noConversion"/>
  </si>
  <si>
    <t>- 사용료및수수료</t>
    <phoneticPr fontId="6" type="noConversion"/>
  </si>
  <si>
    <t>- 잡수입</t>
    <phoneticPr fontId="6" type="noConversion"/>
  </si>
  <si>
    <t>4. 부담금</t>
    <phoneticPr fontId="6" type="noConversion"/>
  </si>
  <si>
    <t>- 업무추진비</t>
    <phoneticPr fontId="6" type="noConversion"/>
  </si>
  <si>
    <t>- 직원 및 계약교직원</t>
    <phoneticPr fontId="6" type="noConversion"/>
  </si>
  <si>
    <t>- 교원</t>
    <phoneticPr fontId="6" type="noConversion"/>
  </si>
  <si>
    <t> - 학생수련활동비</t>
    <phoneticPr fontId="6" type="noConversion"/>
  </si>
  <si>
    <t>2. 현장체험학습비</t>
    <phoneticPr fontId="6" type="noConversion"/>
  </si>
  <si>
    <t>1. 급식비</t>
    <phoneticPr fontId="6" type="noConversion"/>
  </si>
  <si>
    <t>1. 이자수입</t>
    <phoneticPr fontId="6" type="noConversion"/>
  </si>
  <si>
    <t>2. 수수료</t>
    <phoneticPr fontId="6" type="noConversion"/>
  </si>
  <si>
    <t>3. 기타잡수입</t>
    <phoneticPr fontId="6" type="noConversion"/>
  </si>
  <si>
    <t>1. 순세계잉여금</t>
    <phoneticPr fontId="6" type="noConversion"/>
  </si>
  <si>
    <t>1. 학교운영지원비</t>
    <phoneticPr fontId="6" type="noConversion"/>
  </si>
  <si>
    <t>1. 임차료</t>
    <phoneticPr fontId="6" type="noConversion"/>
  </si>
  <si>
    <t>1. 운영비</t>
    <phoneticPr fontId="6" type="noConversion"/>
  </si>
  <si>
    <t>1. 방과후학교 운영</t>
    <phoneticPr fontId="6" type="noConversion"/>
  </si>
  <si>
    <t>2.재외교육기여장려금</t>
    <phoneticPr fontId="6" type="noConversion"/>
  </si>
  <si>
    <t>1. 시설비</t>
    <phoneticPr fontId="6" type="noConversion"/>
  </si>
  <si>
    <t>1. 교육환경개선</t>
    <phoneticPr fontId="6" type="noConversion"/>
  </si>
  <si>
    <t>9. 교무업무운영</t>
    <phoneticPr fontId="6" type="noConversion"/>
  </si>
  <si>
    <t>11. 입학식 및 졸업식(유치원)</t>
    <phoneticPr fontId="6" type="noConversion"/>
  </si>
  <si>
    <t>1. 학교발전기금전입금</t>
    <phoneticPr fontId="6" type="noConversion"/>
  </si>
  <si>
    <t>1. 법인전입금</t>
    <phoneticPr fontId="6" type="noConversion"/>
  </si>
  <si>
    <t>1. 기타지원금</t>
    <phoneticPr fontId="6" type="noConversion"/>
  </si>
  <si>
    <t>4. 통학차량 운영지원</t>
    <phoneticPr fontId="6" type="noConversion"/>
  </si>
  <si>
    <t>1. 적립금</t>
    <phoneticPr fontId="6" type="noConversion"/>
  </si>
  <si>
    <t>1. 환차익</t>
    <phoneticPr fontId="6" type="noConversion"/>
  </si>
  <si>
    <t>1. 저소득층자녀지원</t>
    <phoneticPr fontId="6" type="noConversion"/>
  </si>
  <si>
    <t>1. 방과후학교지원</t>
    <phoneticPr fontId="6" type="noConversion"/>
  </si>
  <si>
    <t>1. 시설(대수선)비</t>
    <phoneticPr fontId="6" type="noConversion"/>
  </si>
  <si>
    <t>1. 기타교육부지원</t>
    <phoneticPr fontId="6" type="noConversion"/>
  </si>
  <si>
    <t>1. 기관업무추진비</t>
    <phoneticPr fontId="6" type="noConversion"/>
  </si>
  <si>
    <t>2. 학교시설장비유지</t>
    <phoneticPr fontId="6" type="noConversion"/>
  </si>
  <si>
    <t>=</t>
    <phoneticPr fontId="6" type="noConversion"/>
  </si>
  <si>
    <t>1. 교육지원부 운영</t>
    <phoneticPr fontId="6" type="noConversion"/>
  </si>
  <si>
    <t>3. 학교급식비 지원</t>
    <phoneticPr fontId="6" type="noConversion"/>
  </si>
  <si>
    <t>1. 급식 재료구입비</t>
    <phoneticPr fontId="6" type="noConversion"/>
  </si>
  <si>
    <t>3. 교직원 복지 및 역량강화</t>
    <phoneticPr fontId="6" type="noConversion"/>
  </si>
  <si>
    <t>1. 현재채용교직원인건비</t>
    <phoneticPr fontId="6" type="noConversion"/>
  </si>
  <si>
    <t>- 기타교육부지원금</t>
    <phoneticPr fontId="6" type="noConversion"/>
  </si>
  <si>
    <t>ㅇ여비(국내) 200원×12명×2회×12월</t>
    <phoneticPr fontId="6" type="noConversion"/>
  </si>
  <si>
    <t>=</t>
    <phoneticPr fontId="6" type="noConversion"/>
  </si>
  <si>
    <t>2. 예체능교과활동(초등학교)</t>
    <phoneticPr fontId="6" type="noConversion"/>
  </si>
  <si>
    <t>3. 예체능교과활동(유치원)</t>
    <phoneticPr fontId="6" type="noConversion"/>
  </si>
  <si>
    <t>4. 영어교과활동</t>
    <phoneticPr fontId="6" type="noConversion"/>
  </si>
  <si>
    <t>5. 중국어교과활동</t>
    <phoneticPr fontId="6" type="noConversion"/>
  </si>
  <si>
    <t>6.유치원 교과활동</t>
    <phoneticPr fontId="6" type="noConversion"/>
  </si>
  <si>
    <t>7. 자율활동(초등학교)</t>
    <phoneticPr fontId="6" type="noConversion"/>
  </si>
  <si>
    <t>8. 자율활동(유치원)</t>
    <phoneticPr fontId="6" type="noConversion"/>
  </si>
  <si>
    <t>2. 졸업앨범 제작(초등학교)</t>
    <phoneticPr fontId="6" type="noConversion"/>
  </si>
  <si>
    <t>3. 졸업앨범 제작(유치원)</t>
    <phoneticPr fontId="6" type="noConversion"/>
  </si>
  <si>
    <t>1. 현장체험학습(초등학교)</t>
    <phoneticPr fontId="6" type="noConversion"/>
  </si>
  <si>
    <t>2. 현장체험학습(유치원)</t>
    <phoneticPr fontId="6" type="noConversion"/>
  </si>
  <si>
    <t>10 입학식 및 졸업식(초등학교)</t>
    <phoneticPr fontId="6" type="noConversion"/>
  </si>
  <si>
    <t>ㅇ중국어능력평가 우편요금 50NTD×4회</t>
  </si>
  <si>
    <t>ㅇ환경정리 500NTD×6학급</t>
  </si>
  <si>
    <t>ㅇ환경정리 500NTD×1학급</t>
  </si>
  <si>
    <t>ㅇ학교교육계획서 제작 400NTD×10부</t>
    <phoneticPr fontId="6" type="noConversion"/>
  </si>
  <si>
    <t>ㅇ체육대회 장소임대 1,000NTD×1회</t>
    <phoneticPr fontId="6" type="noConversion"/>
  </si>
  <si>
    <t>3. 수학여행</t>
    <phoneticPr fontId="6" type="noConversion"/>
  </si>
  <si>
    <t>2. 급식종사원인건비</t>
    <phoneticPr fontId="6" type="noConversion"/>
  </si>
  <si>
    <t>ㅇ홈페이지 도메인 사용료 750NTD×1년</t>
    <phoneticPr fontId="6" type="noConversion"/>
  </si>
  <si>
    <t>2. 계속비</t>
    <phoneticPr fontId="6" type="noConversion"/>
  </si>
  <si>
    <t>타 이 뻬 이 한 국 학 교</t>
    <phoneticPr fontId="6" type="noConversion"/>
  </si>
  <si>
    <t>예 산 총 칙</t>
    <phoneticPr fontId="16" type="noConversion"/>
  </si>
  <si>
    <t xml:space="preserve">           하며, 세입ㆍ세출의 명세는 『세입ㆍ세출예산서』와 같다. </t>
    <phoneticPr fontId="16" type="noConversion"/>
  </si>
  <si>
    <t xml:space="preserve">제2조 국가로부터 용도가 지정되어 교부된 경비 또는 수익자부담경비는 추가경정예산의 성립 전에   </t>
    <phoneticPr fontId="16" type="noConversion"/>
  </si>
  <si>
    <t xml:space="preserve">         사용할 수 있으며, 이를 차기 추가경정예산에 반영한다.</t>
    <phoneticPr fontId="16" type="noConversion"/>
  </si>
  <si>
    <t xml:space="preserve">제3조 동일 예산 관내의 항간 또는 목간에 예산의 과부족이 있는 경우에는 사학기관재무ㆍ회계규칙 </t>
    <phoneticPr fontId="16" type="noConversion"/>
  </si>
  <si>
    <t xml:space="preserve">         제21조 제3항의 규정에 의하여 상호 전용할 수 있다. </t>
    <phoneticPr fontId="16" type="noConversion"/>
  </si>
  <si>
    <t xml:space="preserve">         단, 회계연도 경과 후에는 예산을 전용할 수 없으며, 업무추진비에 충당하기 위하여 다른 </t>
    <phoneticPr fontId="16" type="noConversion"/>
  </si>
  <si>
    <t xml:space="preserve">         비목에서 전용할 수 없다. </t>
    <phoneticPr fontId="16" type="noConversion"/>
  </si>
  <si>
    <t xml:space="preserve">제4조 다음의 경비에 부족이 생겼을 때에는 비목 상호간 또는 타 비목으로부터 이용할 수 있다. </t>
    <phoneticPr fontId="16" type="noConversion"/>
  </si>
  <si>
    <t xml:space="preserve">         단; 인건비 및 시설비의 예산은 다른 과목으로 이용할 수 없다.</t>
    <phoneticPr fontId="16" type="noConversion"/>
  </si>
  <si>
    <t xml:space="preserve">          1. 교원 및 직원 인건비, 연구비, 수당</t>
    <phoneticPr fontId="16" type="noConversion"/>
  </si>
  <si>
    <t xml:space="preserve">          2. 비정규직보수, 강사료</t>
    <phoneticPr fontId="16" type="noConversion"/>
  </si>
  <si>
    <t xml:space="preserve">          3. 세금, 공과금, 반환금</t>
    <phoneticPr fontId="16" type="noConversion"/>
  </si>
  <si>
    <t>1.사용료</t>
    <phoneticPr fontId="6" type="noConversion"/>
  </si>
  <si>
    <t>1. 과년도수입</t>
    <phoneticPr fontId="6" type="noConversion"/>
  </si>
  <si>
    <t>ㅇ나대지 61,668NTD×1년</t>
    <phoneticPr fontId="6" type="noConversion"/>
  </si>
  <si>
    <t>ㅇ응급학생 병원후송 500NTD×5회</t>
    <phoneticPr fontId="6" type="noConversion"/>
  </si>
  <si>
    <t>ㅇ상하수도요금 500NTD×12월</t>
    <phoneticPr fontId="6" type="noConversion"/>
  </si>
  <si>
    <t>=</t>
    <phoneticPr fontId="6" type="noConversion"/>
  </si>
  <si>
    <t>3. 운영비</t>
    <phoneticPr fontId="6" type="noConversion"/>
  </si>
  <si>
    <t>=</t>
    <phoneticPr fontId="6" type="noConversion"/>
  </si>
  <si>
    <t>ㅇ예금잔액증명 발급수수료 500NTD×5회</t>
    <phoneticPr fontId="6" type="noConversion"/>
  </si>
  <si>
    <t>ㅇ타행송금및환전수수료(납입금환불) 30NTD×50회</t>
    <phoneticPr fontId="6" type="noConversion"/>
  </si>
  <si>
    <t>ㅇ사무용품 구입(교수학습자료지원금) 2,000NTD×5회</t>
    <phoneticPr fontId="6" type="noConversion"/>
  </si>
  <si>
    <t>ㅇ복사용지(교수학습자료지원금) 5,000NTD×2회</t>
    <phoneticPr fontId="6" type="noConversion"/>
  </si>
  <si>
    <t>ㅇ우편요금 150NTD×12월</t>
    <phoneticPr fontId="6" type="noConversion"/>
  </si>
  <si>
    <t>ㅇ화장실 소모품 및 청소용품 2,000NTD×4회</t>
    <phoneticPr fontId="6" type="noConversion"/>
  </si>
  <si>
    <t>ㅇ교재 1,300NTD×45부</t>
    <phoneticPr fontId="6" type="noConversion"/>
  </si>
  <si>
    <t>ㅇ공책 10NTD×45부×6회</t>
    <phoneticPr fontId="6" type="noConversion"/>
  </si>
  <si>
    <t>ㅇ학습준비물 100NTD×45명×2회</t>
    <phoneticPr fontId="6" type="noConversion"/>
  </si>
  <si>
    <t>ㅇ행사물품 1,000NTD×1회</t>
    <phoneticPr fontId="6" type="noConversion"/>
  </si>
  <si>
    <t>ㅇ교재 400NTD×90부</t>
    <phoneticPr fontId="6" type="noConversion"/>
  </si>
  <si>
    <t>ㅇ공책 10NTD×45부×6회</t>
    <phoneticPr fontId="6" type="noConversion"/>
  </si>
  <si>
    <t>ㅇ학예회 무대장식 4,000NTD×1회</t>
    <phoneticPr fontId="6" type="noConversion"/>
  </si>
  <si>
    <t>ㅇ행정장비 소모품(교수학습자료지원금) 4,000NTD×6회</t>
    <phoneticPr fontId="6" type="noConversion"/>
  </si>
  <si>
    <t>ㅇ전기안전관리용역 3,200NTD×12월</t>
    <phoneticPr fontId="6" type="noConversion"/>
  </si>
  <si>
    <t>ㅇ태권도복 600NTD×15벌</t>
    <phoneticPr fontId="6" type="noConversion"/>
  </si>
  <si>
    <t>ㅇ학교안전공제회비(학생,교직원) 550NTD×53명</t>
    <phoneticPr fontId="6" type="noConversion"/>
  </si>
  <si>
    <t>2. 지난년도 수입</t>
    <phoneticPr fontId="6" type="noConversion"/>
  </si>
  <si>
    <t>ㅇ실장 45,000NTD×1명×12월</t>
    <phoneticPr fontId="6" type="noConversion"/>
  </si>
  <si>
    <t>ㅇ경조사비 1,500NTD×2회</t>
    <phoneticPr fontId="6" type="noConversion"/>
  </si>
  <si>
    <t>ㅇ소방정밀점검 12,000NTD×1회</t>
    <phoneticPr fontId="6" type="noConversion"/>
  </si>
  <si>
    <t>ㅇ정수기 소독 3,500NTD×2대×1회</t>
    <phoneticPr fontId="6" type="noConversion"/>
  </si>
  <si>
    <t>ㅇ전화 및 인터넷요금 5,500N*12월</t>
    <phoneticPr fontId="6" type="noConversion"/>
  </si>
  <si>
    <t>5. 현장학습 지원</t>
    <phoneticPr fontId="6" type="noConversion"/>
  </si>
  <si>
    <t>ㅇ행정장비 소모품 구입 10,000NTD×5회</t>
    <phoneticPr fontId="6" type="noConversion"/>
  </si>
  <si>
    <t>ㅇ행정장비 유지보수 6,300NTD×1회</t>
    <phoneticPr fontId="6" type="noConversion"/>
  </si>
  <si>
    <t>12. 토요한글학교 운영(재외동포재단지원금)</t>
    <phoneticPr fontId="6" type="noConversion"/>
  </si>
  <si>
    <t>ㅇ승강기안전관리용역 3,000NTD×12월</t>
    <phoneticPr fontId="6" type="noConversion"/>
  </si>
  <si>
    <t>ㅇ차량 보험료 40,00NTD×2대×1년</t>
    <phoneticPr fontId="6" type="noConversion"/>
  </si>
  <si>
    <t>ㅇ차량 유류 15,600NTD×9월</t>
    <phoneticPr fontId="6" type="noConversion"/>
  </si>
  <si>
    <t>ㅇ차량 등록세 및 연료세 15,00NTD×2대×1년</t>
    <phoneticPr fontId="6" type="noConversion"/>
  </si>
  <si>
    <t>6. 저소득층자녀 학비지원(교육부지원금)</t>
    <phoneticPr fontId="6" type="noConversion"/>
  </si>
  <si>
    <t>7. 기타 학생복지 지원</t>
    <phoneticPr fontId="6" type="noConversion"/>
  </si>
  <si>
    <t>ㅇ현장학습 차량비 지원(기사인건비) 750NTD×1명×12회×3시간</t>
    <phoneticPr fontId="6" type="noConversion"/>
  </si>
  <si>
    <t>3. 이월사업비</t>
    <phoneticPr fontId="6" type="noConversion"/>
  </si>
  <si>
    <t>ㅇ직책수당(실장) 4,000NTD×1명×12월</t>
    <phoneticPr fontId="6" type="noConversion"/>
  </si>
  <si>
    <t>ㅇ복지수당 7,000NTD×2명×12월</t>
    <phoneticPr fontId="6" type="noConversion"/>
  </si>
  <si>
    <t xml:space="preserve">ㅇ강사수당 </t>
    <phoneticPr fontId="6" type="noConversion"/>
  </si>
  <si>
    <t>ㅇ교재 및 재료비</t>
    <phoneticPr fontId="6" type="noConversion"/>
  </si>
  <si>
    <t>ㅇ전기요금 및 수용비</t>
    <phoneticPr fontId="6" type="noConversion"/>
  </si>
  <si>
    <t>4. 방과후교육활동비</t>
    <phoneticPr fontId="6" type="noConversion"/>
  </si>
  <si>
    <t>5. 기타수익자부담경비</t>
    <phoneticPr fontId="6" type="noConversion"/>
  </si>
  <si>
    <t>3. 토요한글학교운영비</t>
    <phoneticPr fontId="6" type="noConversion"/>
  </si>
  <si>
    <t xml:space="preserve">ㅇ강사수당 </t>
    <phoneticPr fontId="6" type="noConversion"/>
  </si>
  <si>
    <t>ㅇ주차요금 7,000NTD×3분기</t>
    <phoneticPr fontId="6" type="noConversion"/>
  </si>
  <si>
    <t>ㅇ명절휴가비 45,000NTD×4명×2회×60%</t>
    <phoneticPr fontId="6" type="noConversion"/>
  </si>
  <si>
    <t>ㅇ노동보험기관부담금 3,200NTD×12월</t>
    <phoneticPr fontId="6" type="noConversion"/>
  </si>
  <si>
    <t>ㅇ전기요금 20,000NTD×12월</t>
    <phoneticPr fontId="6" type="noConversion"/>
  </si>
  <si>
    <t>ㅇ기계경비용역료 7,000NTD×12월</t>
    <phoneticPr fontId="6" type="noConversion"/>
  </si>
  <si>
    <t>ㅇ소규모수선 10,000NTD×15회</t>
    <phoneticPr fontId="6" type="noConversion"/>
  </si>
  <si>
    <t>ㅇ담임수당 4,000NTD×4명×12월</t>
    <phoneticPr fontId="6" type="noConversion"/>
  </si>
  <si>
    <t>ㅇ복지수당 7,000NTD×4명×12월</t>
    <phoneticPr fontId="6" type="noConversion"/>
  </si>
  <si>
    <t>ㅇ경력수당 7,000NTD×4명×12월</t>
    <phoneticPr fontId="6" type="noConversion"/>
  </si>
  <si>
    <t>ㅇ보전수당 4,000NTD×4명×12월</t>
    <phoneticPr fontId="6" type="noConversion"/>
  </si>
  <si>
    <t>ㅇ건강보험기관부담금부담금 17,000NTD×4명</t>
    <phoneticPr fontId="6" type="noConversion"/>
  </si>
  <si>
    <t>=</t>
    <phoneticPr fontId="6" type="noConversion"/>
  </si>
  <si>
    <t>=</t>
    <phoneticPr fontId="6" type="noConversion"/>
  </si>
  <si>
    <t>ㅇ외국어강사 부장수당 2,000NTD×2명×10월</t>
    <phoneticPr fontId="6" type="noConversion"/>
  </si>
  <si>
    <t>=</t>
    <phoneticPr fontId="6" type="noConversion"/>
  </si>
  <si>
    <t>ㅇ부양가족 추가 주택수당 2,000NTD×1명×12월</t>
    <phoneticPr fontId="6" type="noConversion"/>
  </si>
  <si>
    <t>- 기타수익자
부담경비</t>
    <phoneticPr fontId="6" type="noConversion"/>
  </si>
  <si>
    <t>1. 퇴휴금</t>
    <phoneticPr fontId="6" type="noConversion"/>
  </si>
  <si>
    <t>4. 임차료</t>
    <phoneticPr fontId="6" type="noConversion"/>
  </si>
  <si>
    <t>ㅇ태권도 강사수당 900NTD×1명×3시간×40회</t>
    <phoneticPr fontId="6" type="noConversion"/>
  </si>
  <si>
    <t>ㅇ 사무용 비품 5,000NTD×4회</t>
    <phoneticPr fontId="6" type="noConversion"/>
  </si>
  <si>
    <t>ㅇ초등학생 30,000NTD×5명</t>
    <phoneticPr fontId="6" type="noConversion"/>
  </si>
  <si>
    <t>2. 토요한글학교 운영</t>
    <phoneticPr fontId="6" type="noConversion"/>
  </si>
  <si>
    <t>ㅇ관리자 수당 14,000NTD×12월</t>
    <phoneticPr fontId="6" type="noConversion"/>
  </si>
  <si>
    <t>ㅇ건강보험기관부담금부담금 16,000NTD×12월</t>
    <phoneticPr fontId="6" type="noConversion"/>
  </si>
  <si>
    <t>13. 방과후학교운영</t>
    <phoneticPr fontId="6" type="noConversion"/>
  </si>
  <si>
    <t>=</t>
    <phoneticPr fontId="6" type="noConversion"/>
  </si>
  <si>
    <t>ㅇ교재 및 재료비(교육부지원금) 2,800NTD×10회</t>
    <phoneticPr fontId="6" type="noConversion"/>
  </si>
  <si>
    <t>ㅇ졸업사진 촬영(교원) 800NTD×3명</t>
    <phoneticPr fontId="6" type="noConversion"/>
  </si>
  <si>
    <t>ㅇ졸업앨범 제작(학교보관용) 800NTD×1부</t>
    <phoneticPr fontId="6" type="noConversion"/>
  </si>
  <si>
    <t>ㅇ졸업선물 800NTD×10명</t>
    <phoneticPr fontId="6" type="noConversion"/>
  </si>
  <si>
    <t>=</t>
    <phoneticPr fontId="6" type="noConversion"/>
  </si>
  <si>
    <t>=</t>
    <phoneticPr fontId="6" type="noConversion"/>
  </si>
  <si>
    <t>=</t>
    <phoneticPr fontId="6" type="noConversion"/>
  </si>
  <si>
    <t>ㅇ유치원 교육전담사 230NTD×1명×8시간×182일</t>
    <phoneticPr fontId="6" type="noConversion"/>
  </si>
  <si>
    <t>ㅇ토요한글학교 수업료 9,600NTD×10명×2회</t>
    <phoneticPr fontId="6" type="noConversion"/>
  </si>
  <si>
    <t>ㅇ방과후학교운영비</t>
    <phoneticPr fontId="6" type="noConversion"/>
  </si>
  <si>
    <t>ㅇ토요한글학교운영비(재단지원금)</t>
    <phoneticPr fontId="6" type="noConversion"/>
  </si>
  <si>
    <t>ㅇ교수학습재료구입비</t>
    <phoneticPr fontId="6" type="noConversion"/>
  </si>
  <si>
    <t>ㅇ 교실 및 강당 사용료 3,500NTD×1회</t>
    <phoneticPr fontId="6" type="noConversion"/>
  </si>
  <si>
    <t>ㅇ제증명발급 수수료 100NTD×3건+1,700 NTD</t>
    <phoneticPr fontId="6" type="noConversion"/>
  </si>
  <si>
    <t>ㅇ예금이자 3,000NTD×2회</t>
    <phoneticPr fontId="6" type="noConversion"/>
  </si>
  <si>
    <t>1. 수업료</t>
    <phoneticPr fontId="6" type="noConversion"/>
  </si>
  <si>
    <t>ㅇ건물 청소용역 24,000NTD×10월</t>
    <phoneticPr fontId="6" type="noConversion"/>
  </si>
  <si>
    <t>ㅇ유치원 시간강사 500NTD×1명×6시간×182일</t>
    <phoneticPr fontId="6" type="noConversion"/>
  </si>
  <si>
    <t>ㅇ교사 45,000NTD×4명×12월</t>
    <phoneticPr fontId="6" type="noConversion"/>
  </si>
  <si>
    <t>ㅇ부장수당 4,000NTD×1명×12월</t>
    <phoneticPr fontId="6" type="noConversion"/>
  </si>
  <si>
    <t xml:space="preserve"> 2021학년도 </t>
    <phoneticPr fontId="16" type="noConversion"/>
  </si>
  <si>
    <t>(회계연도 2021년  3월  1일 ~ 2022년   2월   28일)</t>
    <phoneticPr fontId="6" type="noConversion"/>
  </si>
  <si>
    <t>ㅇ유치원 40,000NTD×10명</t>
    <phoneticPr fontId="6" type="noConversion"/>
  </si>
  <si>
    <t>ㅇ통학버스비 140NTD×20명×182일</t>
    <phoneticPr fontId="6" type="noConversion"/>
  </si>
  <si>
    <t>ㅇ방과후교육활동비 200NTD×8명×24회×4강좌</t>
    <phoneticPr fontId="6" type="noConversion"/>
  </si>
  <si>
    <t>ㅇ졸업앨범(유치원) 10명× 1,700 NTD</t>
    <phoneticPr fontId="6" type="noConversion"/>
  </si>
  <si>
    <t>ㅇ졸업앨범(초등학교) 3명× 1,700 NTD</t>
    <phoneticPr fontId="6" type="noConversion"/>
  </si>
  <si>
    <t>ㅇ인건비 5,722,556NTD×1년</t>
    <phoneticPr fontId="6" type="noConversion"/>
  </si>
  <si>
    <t>ㅇ운영비 4,214,644NTD×1년</t>
    <phoneticPr fontId="6" type="noConversion"/>
  </si>
  <si>
    <t>ㅇ나대지 46,312NTD(1년)×1회</t>
    <phoneticPr fontId="6" type="noConversion"/>
  </si>
  <si>
    <t xml:space="preserve">ㅇ 2020학년도 회계 잉여금 </t>
    <phoneticPr fontId="6" type="noConversion"/>
  </si>
  <si>
    <t>ㅇ주택수당 19,000NTD×4명×12월</t>
    <phoneticPr fontId="6" type="noConversion"/>
  </si>
  <si>
    <t>ㅇ부양가족 추가 주택수당 2,000NTD×2명×12월</t>
    <phoneticPr fontId="6" type="noConversion"/>
  </si>
  <si>
    <t>ㅇ건강보험보충부담금(2019년도분)</t>
    <phoneticPr fontId="6" type="noConversion"/>
  </si>
  <si>
    <t>ㅇ행정원 34,000NTD×1명×12월</t>
    <phoneticPr fontId="6" type="noConversion"/>
  </si>
  <si>
    <t>ㅇ경력수당(실장,행정원) 9,000NTD×12월</t>
    <phoneticPr fontId="6" type="noConversion"/>
  </si>
  <si>
    <t>ㅇ주택수당(실장) 19,000NTD×1명×12월</t>
    <phoneticPr fontId="6" type="noConversion"/>
  </si>
  <si>
    <t>ㅇ유치원 보조원 180NTD×1명×6시간×182일</t>
    <phoneticPr fontId="6" type="noConversion"/>
  </si>
  <si>
    <t>ㅇ명절휴가비 39,500NTD×2명×2회×60%</t>
    <phoneticPr fontId="6" type="noConversion"/>
  </si>
  <si>
    <t>ㅇ교사 90,000NTD×3명</t>
    <phoneticPr fontId="6" type="noConversion"/>
  </si>
  <si>
    <t>ㅇ통학버스 기사 안건비(52일분)
  335NTD×1명×52일×5시간+435NTD×1명×52일×5시간</t>
    <phoneticPr fontId="6" type="noConversion"/>
  </si>
  <si>
    <t>ㅇ교직원 귀임 및 부임 항공료 9,000NTD×2명</t>
    <phoneticPr fontId="6" type="noConversion"/>
  </si>
  <si>
    <t>ㅇ거류비자 및 공작증 신청 4,500NTD×4명</t>
    <phoneticPr fontId="6" type="noConversion"/>
  </si>
  <si>
    <t>ㅇ시설소모품구입 10,000NTD×10회</t>
    <phoneticPr fontId="6" type="noConversion"/>
  </si>
  <si>
    <t>ㅇ체육대회 준비물품 400NTD×65개</t>
    <phoneticPr fontId="6" type="noConversion"/>
  </si>
  <si>
    <t>ㅇ학예회 준비물품 400NTD×41명</t>
    <phoneticPr fontId="6" type="noConversion"/>
  </si>
  <si>
    <t>ㅇ학급운영비 200NTD×24명×2회</t>
    <phoneticPr fontId="6" type="noConversion"/>
  </si>
  <si>
    <t>ㅇ학예회경비 400NTD×24명</t>
    <phoneticPr fontId="6" type="noConversion"/>
  </si>
  <si>
    <t>ㅇ학급운영비 400NTD×41명×2회</t>
    <phoneticPr fontId="6" type="noConversion"/>
  </si>
  <si>
    <t>ㅇ학습준비물 1000NTD×24명×2회</t>
    <phoneticPr fontId="6" type="noConversion"/>
  </si>
  <si>
    <t>ㅇ학습준비물(교수학습자료지원금) 10,000NTD×41명</t>
    <phoneticPr fontId="6" type="noConversion"/>
  </si>
  <si>
    <t>ㅇ입학식 선물 1000NTD×15명</t>
    <phoneticPr fontId="6" type="noConversion"/>
  </si>
  <si>
    <t>ㅇ입학선물 1,000NTD×10명</t>
    <phoneticPr fontId="6" type="noConversion"/>
  </si>
  <si>
    <t>ㅇ강사비 1,200NTD×4시간×16주</t>
    <phoneticPr fontId="6" type="noConversion"/>
  </si>
  <si>
    <t>ㅇ강사수당(교육부지원금) 600NTD×250시간</t>
    <phoneticPr fontId="6" type="noConversion"/>
  </si>
  <si>
    <t>ㅇ강사수당(학교자체지원금)  660NTD×70시간</t>
    <phoneticPr fontId="6" type="noConversion"/>
  </si>
  <si>
    <t>ㅇ약품 2,000NTD×10회</t>
    <phoneticPr fontId="6" type="noConversion"/>
  </si>
  <si>
    <t>ㅇ저수조 청소 5,000NTD×2회</t>
    <phoneticPr fontId="6" type="noConversion"/>
  </si>
  <si>
    <t>ㅇ방학중 대청소 45,000NTD×2회</t>
    <phoneticPr fontId="6" type="noConversion"/>
  </si>
  <si>
    <t>ㅇ간식비 지원 20NTD*182일*65명</t>
    <phoneticPr fontId="6" type="noConversion"/>
  </si>
  <si>
    <t>ㅇ저소득층 자녀 학비 지원금 150,000NTD</t>
    <phoneticPr fontId="6" type="noConversion"/>
  </si>
  <si>
    <t>ㅇ교직원 간담회 500NTD×20명×8회</t>
    <phoneticPr fontId="6" type="noConversion"/>
  </si>
  <si>
    <t>ㅇ초등 현장체험학습비 500NTD×41명×2회</t>
    <phoneticPr fontId="6" type="noConversion"/>
  </si>
  <si>
    <t>ㅇ초등 수학여행비 10,000NTD×3명×1회</t>
    <phoneticPr fontId="6" type="noConversion"/>
  </si>
  <si>
    <t>ㅇ유치원 간식비 20NTD×24명×182일</t>
    <phoneticPr fontId="6" type="noConversion"/>
  </si>
  <si>
    <t>4. 유치원 간식비</t>
    <phoneticPr fontId="6" type="noConversion"/>
  </si>
  <si>
    <t xml:space="preserve"> ㅇ 간식비  20NTD×24명×182일</t>
    <phoneticPr fontId="6" type="noConversion"/>
  </si>
  <si>
    <t>ㅇ졸업앨범제작비 10명× 1,700 NTD</t>
    <phoneticPr fontId="6" type="noConversion"/>
  </si>
  <si>
    <t>ㅇ졸업앨범제작비 3명× 1,700 NTD</t>
    <phoneticPr fontId="6" type="noConversion"/>
  </si>
  <si>
    <t>ㅇ 조리기구 구입비</t>
    <phoneticPr fontId="6" type="noConversion"/>
  </si>
  <si>
    <t>ㅇ중국어 강사수당 
610NTD×2명×6시간×143일+550NTD×1명×2시간×143일</t>
    <phoneticPr fontId="6" type="noConversion"/>
  </si>
  <si>
    <t>ㅇ영어 강사수당
660NTD×1명×6시간×180일+660NTD×2명×4시간×180일</t>
    <phoneticPr fontId="6" type="noConversion"/>
  </si>
  <si>
    <t xml:space="preserve">  타이뻬이한국학교회계 1차 추가경정 세입세출 예산</t>
    <phoneticPr fontId="16" type="noConversion"/>
  </si>
  <si>
    <t>2021학년도 타이뻬이한국학교회계 1차 추경 세입․세출예산서</t>
    <phoneticPr fontId="6" type="noConversion"/>
  </si>
  <si>
    <t>ㅇ교직원 50NTD×9명×147일</t>
    <phoneticPr fontId="6" type="noConversion"/>
  </si>
  <si>
    <t>ㅇ학생 100NTD×65명×147일</t>
    <phoneticPr fontId="6" type="noConversion"/>
  </si>
  <si>
    <t>ㅇ교수학습자료 개발 연구회비</t>
    <phoneticPr fontId="6" type="noConversion"/>
  </si>
  <si>
    <t>ㅇ원격수업 기자재 구입비</t>
    <phoneticPr fontId="6" type="noConversion"/>
  </si>
  <si>
    <t>ㅇ운동장 우레탄바닥 교체 공사비(특이소요)</t>
    <phoneticPr fontId="6" type="noConversion"/>
  </si>
  <si>
    <t>ㅇ시간강사 500NTD×3명×4.4시간×182일</t>
    <phoneticPr fontId="6" type="noConversion"/>
  </si>
  <si>
    <t>ㅇ보결수당 300NTD×190시간</t>
    <phoneticPr fontId="6" type="noConversion"/>
  </si>
  <si>
    <t>ㅇ유치원 강사 보조원 중식 지원 100NTD×3명×182일</t>
    <phoneticPr fontId="6" type="noConversion"/>
  </si>
  <si>
    <t>ㅇ통학버스 안전도우미 인건비 
  180NTD×2명×147일×6시간</t>
    <phoneticPr fontId="6" type="noConversion"/>
  </si>
  <si>
    <t xml:space="preserve">ㅇ초등현장학습 인솔 교직원 중식 </t>
    <phoneticPr fontId="6" type="noConversion"/>
  </si>
  <si>
    <t xml:space="preserve">ㅇ초등현장학습 인솔교직원 활동비 </t>
    <phoneticPr fontId="6" type="noConversion"/>
  </si>
  <si>
    <t xml:space="preserve">ㅇ유치원현장학습 인솔교직원 중식 </t>
    <phoneticPr fontId="6" type="noConversion"/>
  </si>
  <si>
    <t xml:space="preserve">ㅇ유치원현장학습 인솔교직원 활동비 </t>
    <phoneticPr fontId="6" type="noConversion"/>
  </si>
  <si>
    <t xml:space="preserve">ㅇ교직원 채용경비 </t>
    <phoneticPr fontId="6" type="noConversion"/>
  </si>
  <si>
    <t xml:space="preserve">ㅇ여비(국외출장) </t>
    <phoneticPr fontId="6" type="noConversion"/>
  </si>
  <si>
    <t>ㅇ정수기 필터교환 650NTD×2대×12회</t>
    <phoneticPr fontId="6" type="noConversion"/>
  </si>
  <si>
    <t>ㅇ교사 소독 9,000NTD×16회=</t>
    <phoneticPr fontId="6" type="noConversion"/>
  </si>
  <si>
    <t>ㅇ현장학습 차량 임차비 11,700NTD×1회</t>
    <phoneticPr fontId="6" type="noConversion"/>
  </si>
  <si>
    <t>ㅇ유치원 현장체험학습비 301NTD×24명×1회</t>
    <phoneticPr fontId="6" type="noConversion"/>
  </si>
  <si>
    <t xml:space="preserve"> ㅇ 활동비 및 입장료</t>
    <phoneticPr fontId="6" type="noConversion"/>
  </si>
  <si>
    <t>ㅇ 활동비 및 입장료  301NTD×24명×1회</t>
    <phoneticPr fontId="6" type="noConversion"/>
  </si>
  <si>
    <t>ㅇ 조리사 400NTD×147일×6시간</t>
    <phoneticPr fontId="6" type="noConversion"/>
  </si>
  <si>
    <t>ㅇ 조리원 400NTD×147일×6시간</t>
    <phoneticPr fontId="6" type="noConversion"/>
  </si>
  <si>
    <t xml:space="preserve">ㅇ 활동비  </t>
    <phoneticPr fontId="6" type="noConversion"/>
  </si>
  <si>
    <t xml:space="preserve">ㅇ 시설 개보수비 </t>
    <phoneticPr fontId="6" type="noConversion"/>
  </si>
  <si>
    <t>ㅇ 운동장 우레탄 바닥 교체 공사</t>
    <phoneticPr fontId="6" type="noConversion"/>
  </si>
  <si>
    <t>ㅇ원격수업 기자재 구입(교육부 지원금)</t>
    <phoneticPr fontId="6" type="noConversion"/>
  </si>
  <si>
    <t>ㅇ교수학습자료 개발 연구회비(교욱부 지원금)</t>
    <phoneticPr fontId="6" type="noConversion"/>
  </si>
  <si>
    <t>제 1 조 2021학년도 타이뻬이한국학교회계 1차 세입ㆍ세출 예산 총액은 세입ㆍ세출 각각  20,164,897NTD로</t>
    <phoneticPr fontId="16" type="noConversion"/>
  </si>
  <si>
    <t>ㅇ유치원 수업료</t>
    <phoneticPr fontId="6" type="noConversion"/>
  </si>
  <si>
    <t>ㅇ초등학생 수업료</t>
    <phoneticPr fontId="6" type="noConversion"/>
  </si>
  <si>
    <t>ㅇ 식재료 구입비 10.000NTD×30주</t>
    <phoneticPr fontId="6" type="noConversion"/>
  </si>
  <si>
    <t> 【단위 : 현지화 NTD 1USD=27.18NTD】</t>
    <phoneticPr fontId="6" type="noConversion"/>
  </si>
  <si>
    <t>ㅇ저소득층자녀지원금 150,000NTD×1회</t>
    <phoneticPr fontId="6" type="noConversion"/>
  </si>
  <si>
    <t>ㅇ시간외근무수당 250NTD×20시간</t>
    <phoneticPr fontId="6" type="noConversion"/>
  </si>
  <si>
    <t>ㅇ대만국적자 직원 퇴휴금 12명</t>
    <phoneticPr fontId="6" type="noConversion"/>
  </si>
  <si>
    <t>ㅇ시간외근무수당 250NTD×20시간</t>
    <phoneticPr fontId="6" type="noConversion"/>
  </si>
  <si>
    <t>ㅇ통학차량 기사인건비(130일분)
  335NTD×1명×5시간×130일</t>
    <phoneticPr fontId="6" type="noConversion"/>
  </si>
  <si>
    <t>ㅇ통학차량 기사인건비(130일분)
  435NTD×1명×5시간×130일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</si>
</sst>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_ "/>
    <numFmt numFmtId="177" formatCode="#,##0_ "/>
  </numFmts>
  <fonts count="2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4"/>
      <color rgb="FF000000"/>
      <name val="휴먼명조"/>
      <family val="3"/>
      <charset val="129"/>
    </font>
    <font>
      <sz val="9"/>
      <color rgb="FF000000"/>
      <name val="한양신명조"/>
      <family val="3"/>
      <charset val="129"/>
    </font>
    <font>
      <b/>
      <sz val="9"/>
      <color rgb="FF000000"/>
      <name val="한양신명조"/>
      <family val="3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휴먼명조"/>
      <family val="3"/>
      <charset val="129"/>
    </font>
    <font>
      <sz val="13"/>
      <color rgb="FF000000"/>
      <name val="맑은 고딕"/>
      <family val="3"/>
      <charset val="129"/>
      <scheme val="major"/>
    </font>
    <font>
      <sz val="9"/>
      <color theme="1"/>
      <name val="한양신명조"/>
      <family val="3"/>
      <charset val="129"/>
    </font>
    <font>
      <b/>
      <sz val="6"/>
      <color rgb="FF000000"/>
      <name val="한양신명조"/>
      <family val="3"/>
      <charset val="129"/>
    </font>
    <font>
      <b/>
      <sz val="9"/>
      <color theme="1"/>
      <name val="한양신명조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1"/>
      <color indexed="10"/>
      <name val="HY헤드라인M"/>
      <family val="1"/>
      <charset val="129"/>
    </font>
    <font>
      <sz val="11"/>
      <color theme="1"/>
      <name val="HY헤드라인M"/>
      <family val="1"/>
      <charset val="129"/>
    </font>
    <font>
      <b/>
      <sz val="26"/>
      <name val="HY헤드라인M"/>
      <family val="1"/>
      <charset val="129"/>
    </font>
    <font>
      <sz val="8"/>
      <name val="돋움"/>
      <family val="3"/>
      <charset val="129"/>
    </font>
    <font>
      <b/>
      <sz val="28"/>
      <name val="HY헤드라인M"/>
      <family val="1"/>
      <charset val="129"/>
    </font>
    <font>
      <b/>
      <sz val="22"/>
      <name val="HY헤드라인M"/>
      <family val="1"/>
      <charset val="129"/>
    </font>
    <font>
      <sz val="24"/>
      <name val="HY헤드라인M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8"/>
      <color rgb="FF000000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vertical="center"/>
    </xf>
    <xf numFmtId="41" fontId="0" fillId="0" borderId="0" xfId="1" applyFont="1" applyAlignment="1">
      <alignment vertical="center"/>
    </xf>
    <xf numFmtId="41" fontId="5" fillId="0" borderId="3" xfId="1" applyFont="1" applyBorder="1" applyAlignment="1">
      <alignment horizontal="center" vertical="center" wrapText="1"/>
    </xf>
    <xf numFmtId="41" fontId="5" fillId="0" borderId="1" xfId="1" applyFont="1" applyBorder="1" applyAlignment="1">
      <alignment horizontal="justify" vertical="center" wrapText="1"/>
    </xf>
    <xf numFmtId="41" fontId="5" fillId="0" borderId="2" xfId="1" applyFont="1" applyBorder="1" applyAlignment="1">
      <alignment horizontal="justify" vertical="center" wrapText="1"/>
    </xf>
    <xf numFmtId="41" fontId="2" fillId="0" borderId="0" xfId="1" applyFont="1" applyAlignment="1">
      <alignment vertical="center"/>
    </xf>
    <xf numFmtId="0" fontId="0" fillId="0" borderId="0" xfId="0" applyFont="1" applyFill="1" applyAlignment="1">
      <alignment vertical="center"/>
    </xf>
    <xf numFmtId="41" fontId="0" fillId="0" borderId="0" xfId="1" applyFont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41" fontId="0" fillId="0" borderId="0" xfId="1" applyFont="1" applyAlignment="1">
      <alignment horizontal="center" vertical="center" shrinkToFit="1"/>
    </xf>
    <xf numFmtId="0" fontId="5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18" xfId="0" quotePrefix="1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 wrapText="1"/>
    </xf>
    <xf numFmtId="41" fontId="0" fillId="0" borderId="0" xfId="1" applyFont="1" applyAlignment="1">
      <alignment horizontal="left" vertical="center"/>
    </xf>
    <xf numFmtId="41" fontId="5" fillId="0" borderId="28" xfId="1" applyFont="1" applyBorder="1" applyAlignment="1">
      <alignment horizontal="center" vertical="center" wrapText="1"/>
    </xf>
    <xf numFmtId="41" fontId="4" fillId="3" borderId="29" xfId="1" applyFont="1" applyFill="1" applyBorder="1" applyAlignment="1">
      <alignment horizontal="left" vertical="center" wrapText="1"/>
    </xf>
    <xf numFmtId="41" fontId="4" fillId="3" borderId="26" xfId="1" applyFont="1" applyFill="1" applyBorder="1" applyAlignment="1">
      <alignment horizontal="left" vertical="center" wrapText="1"/>
    </xf>
    <xf numFmtId="41" fontId="4" fillId="3" borderId="27" xfId="1" applyFont="1" applyFill="1" applyBorder="1" applyAlignment="1">
      <alignment horizontal="left" vertical="center" wrapText="1"/>
    </xf>
    <xf numFmtId="0" fontId="4" fillId="0" borderId="41" xfId="0" applyFont="1" applyBorder="1" applyAlignment="1">
      <alignment horizontal="justify" vertical="top" wrapText="1"/>
    </xf>
    <xf numFmtId="41" fontId="5" fillId="0" borderId="42" xfId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justify" vertical="top" wrapText="1"/>
    </xf>
    <xf numFmtId="0" fontId="4" fillId="3" borderId="45" xfId="0" applyFont="1" applyFill="1" applyBorder="1" applyAlignment="1">
      <alignment horizontal="justify" vertical="top" wrapText="1"/>
    </xf>
    <xf numFmtId="41" fontId="4" fillId="0" borderId="47" xfId="1" applyFont="1" applyBorder="1" applyAlignment="1">
      <alignment horizontal="left" vertical="center" wrapText="1"/>
    </xf>
    <xf numFmtId="41" fontId="4" fillId="0" borderId="48" xfId="1" applyFont="1" applyBorder="1" applyAlignment="1">
      <alignment horizontal="left" vertical="center" wrapText="1"/>
    </xf>
    <xf numFmtId="41" fontId="4" fillId="0" borderId="49" xfId="1" applyFont="1" applyBorder="1" applyAlignment="1">
      <alignment horizontal="left" vertical="center" wrapText="1"/>
    </xf>
    <xf numFmtId="0" fontId="4" fillId="0" borderId="50" xfId="0" applyFont="1" applyBorder="1" applyAlignment="1">
      <alignment horizontal="justify" vertical="top" wrapText="1"/>
    </xf>
    <xf numFmtId="41" fontId="5" fillId="0" borderId="23" xfId="1" applyFont="1" applyBorder="1" applyAlignment="1">
      <alignment horizontal="left" vertical="center" shrinkToFit="1"/>
    </xf>
    <xf numFmtId="41" fontId="5" fillId="0" borderId="14" xfId="1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justify" vertical="center" wrapText="1"/>
    </xf>
    <xf numFmtId="0" fontId="4" fillId="0" borderId="53" xfId="0" applyFont="1" applyBorder="1" applyAlignment="1">
      <alignment horizontal="justify" vertical="center" wrapText="1"/>
    </xf>
    <xf numFmtId="0" fontId="4" fillId="0" borderId="56" xfId="0" applyFont="1" applyBorder="1" applyAlignment="1">
      <alignment horizontal="justify" vertical="center" wrapText="1"/>
    </xf>
    <xf numFmtId="41" fontId="5" fillId="0" borderId="18" xfId="1" applyFont="1" applyBorder="1" applyAlignment="1">
      <alignment horizontal="justify" vertical="center" wrapText="1"/>
    </xf>
    <xf numFmtId="0" fontId="5" fillId="0" borderId="51" xfId="0" applyFont="1" applyBorder="1" applyAlignment="1">
      <alignment horizontal="justify" vertical="center" wrapText="1"/>
    </xf>
    <xf numFmtId="41" fontId="4" fillId="0" borderId="52" xfId="1" applyFont="1" applyFill="1" applyBorder="1" applyAlignment="1">
      <alignment horizontal="left" vertical="center" shrinkToFit="1"/>
    </xf>
    <xf numFmtId="41" fontId="4" fillId="0" borderId="0" xfId="1" applyFont="1" applyFill="1" applyBorder="1" applyAlignment="1">
      <alignment horizontal="justify" vertical="center" wrapText="1"/>
    </xf>
    <xf numFmtId="41" fontId="4" fillId="0" borderId="15" xfId="1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justify" vertical="center" wrapText="1"/>
    </xf>
    <xf numFmtId="41" fontId="4" fillId="0" borderId="54" xfId="1" applyFont="1" applyFill="1" applyBorder="1" applyAlignment="1">
      <alignment horizontal="left" vertical="center" shrinkToFit="1"/>
    </xf>
    <xf numFmtId="41" fontId="4" fillId="0" borderId="55" xfId="1" applyFont="1" applyFill="1" applyBorder="1" applyAlignment="1">
      <alignment horizontal="justify" vertical="center" wrapText="1"/>
    </xf>
    <xf numFmtId="41" fontId="4" fillId="0" borderId="13" xfId="1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justify" vertical="center" wrapText="1"/>
    </xf>
    <xf numFmtId="0" fontId="4" fillId="0" borderId="51" xfId="0" applyFont="1" applyFill="1" applyBorder="1" applyAlignment="1">
      <alignment horizontal="justify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quotePrefix="1" applyFont="1" applyBorder="1" applyAlignment="1">
      <alignment vertical="center" wrapText="1"/>
    </xf>
    <xf numFmtId="0" fontId="4" fillId="0" borderId="57" xfId="0" applyFont="1" applyBorder="1" applyAlignment="1">
      <alignment horizontal="justify" vertical="top" wrapText="1"/>
    </xf>
    <xf numFmtId="0" fontId="4" fillId="0" borderId="53" xfId="0" applyFont="1" applyBorder="1" applyAlignment="1">
      <alignment horizontal="justify" vertical="top" wrapText="1"/>
    </xf>
    <xf numFmtId="0" fontId="5" fillId="0" borderId="33" xfId="0" applyFont="1" applyBorder="1" applyAlignment="1">
      <alignment horizontal="right" vertical="center" shrinkToFit="1"/>
    </xf>
    <xf numFmtId="0" fontId="5" fillId="0" borderId="11" xfId="0" quotePrefix="1" applyFont="1" applyBorder="1" applyAlignment="1">
      <alignment horizontal="justify" vertical="center" shrinkToFit="1"/>
    </xf>
    <xf numFmtId="0" fontId="5" fillId="0" borderId="20" xfId="0" applyFont="1" applyBorder="1" applyAlignment="1">
      <alignment horizontal="right" vertical="center" shrinkToFit="1"/>
    </xf>
    <xf numFmtId="0" fontId="5" fillId="0" borderId="28" xfId="0" applyFont="1" applyBorder="1" applyAlignment="1">
      <alignment horizontal="justify" vertical="center" shrinkToFit="1"/>
    </xf>
    <xf numFmtId="0" fontId="5" fillId="0" borderId="39" xfId="0" quotePrefix="1" applyFont="1" applyBorder="1" applyAlignment="1">
      <alignment horizontal="justify" vertical="center" shrinkToFit="1"/>
    </xf>
    <xf numFmtId="0" fontId="5" fillId="0" borderId="34" xfId="0" applyFont="1" applyBorder="1" applyAlignment="1">
      <alignment horizontal="right" vertical="center" shrinkToFit="1"/>
    </xf>
    <xf numFmtId="0" fontId="5" fillId="0" borderId="25" xfId="0" quotePrefix="1" applyFont="1" applyBorder="1" applyAlignment="1">
      <alignment horizontal="justify" vertical="center" shrinkToFit="1"/>
    </xf>
    <xf numFmtId="0" fontId="7" fillId="0" borderId="0" xfId="0" applyFont="1" applyAlignment="1">
      <alignment horizontal="justify" vertical="center" shrinkToFit="1"/>
    </xf>
    <xf numFmtId="0" fontId="2" fillId="0" borderId="0" xfId="0" applyFont="1" applyAlignment="1">
      <alignment vertical="center" shrinkToFit="1"/>
    </xf>
    <xf numFmtId="41" fontId="2" fillId="0" borderId="0" xfId="1" applyFont="1" applyAlignment="1">
      <alignment vertical="center" shrinkToFit="1"/>
    </xf>
    <xf numFmtId="41" fontId="5" fillId="0" borderId="11" xfId="1" applyFont="1" applyBorder="1" applyAlignment="1">
      <alignment vertical="center" shrinkToFit="1"/>
    </xf>
    <xf numFmtId="41" fontId="5" fillId="0" borderId="36" xfId="1" applyFont="1" applyBorder="1" applyAlignment="1">
      <alignment vertical="center" shrinkToFit="1"/>
    </xf>
    <xf numFmtId="41" fontId="5" fillId="0" borderId="28" xfId="1" applyFont="1" applyBorder="1" applyAlignment="1">
      <alignment vertical="center" shrinkToFit="1"/>
    </xf>
    <xf numFmtId="41" fontId="5" fillId="0" borderId="15" xfId="1" applyFont="1" applyBorder="1" applyAlignment="1">
      <alignment vertical="center" shrinkToFit="1"/>
    </xf>
    <xf numFmtId="41" fontId="5" fillId="0" borderId="40" xfId="1" applyFont="1" applyBorder="1" applyAlignment="1">
      <alignment vertical="center" shrinkToFit="1"/>
    </xf>
    <xf numFmtId="41" fontId="5" fillId="0" borderId="46" xfId="1" applyFont="1" applyBorder="1" applyAlignment="1">
      <alignment vertical="center" shrinkToFit="1"/>
    </xf>
    <xf numFmtId="0" fontId="4" fillId="0" borderId="45" xfId="0" applyFont="1" applyBorder="1" applyAlignment="1">
      <alignment horizontal="justify" vertical="top" wrapText="1"/>
    </xf>
    <xf numFmtId="0" fontId="5" fillId="0" borderId="28" xfId="0" quotePrefix="1" applyFont="1" applyBorder="1" applyAlignment="1">
      <alignment horizontal="justify" vertical="center" shrinkToFit="1"/>
    </xf>
    <xf numFmtId="0" fontId="5" fillId="0" borderId="10" xfId="0" quotePrefix="1" applyFont="1" applyBorder="1" applyAlignment="1">
      <alignment horizontal="justify" vertical="center" shrinkToFit="1"/>
    </xf>
    <xf numFmtId="0" fontId="4" fillId="0" borderId="61" xfId="0" applyFont="1" applyBorder="1" applyAlignment="1">
      <alignment horizontal="justify" vertical="center" wrapText="1"/>
    </xf>
    <xf numFmtId="41" fontId="5" fillId="0" borderId="3" xfId="1" applyFont="1" applyBorder="1" applyAlignment="1">
      <alignment horizontal="center" vertical="center" shrinkToFit="1"/>
    </xf>
    <xf numFmtId="41" fontId="5" fillId="0" borderId="1" xfId="1" applyFont="1" applyBorder="1" applyAlignment="1">
      <alignment horizontal="right" vertical="center" shrinkToFit="1"/>
    </xf>
    <xf numFmtId="41" fontId="5" fillId="0" borderId="2" xfId="1" applyFont="1" applyBorder="1" applyAlignment="1">
      <alignment horizontal="right" vertical="center" shrinkToFit="1"/>
    </xf>
    <xf numFmtId="0" fontId="5" fillId="0" borderId="63" xfId="0" applyFont="1" applyBorder="1" applyAlignment="1">
      <alignment horizontal="justify" vertical="center" wrapText="1"/>
    </xf>
    <xf numFmtId="0" fontId="5" fillId="0" borderId="61" xfId="0" applyFont="1" applyBorder="1" applyAlignment="1">
      <alignment horizontal="justify" vertical="center" wrapText="1"/>
    </xf>
    <xf numFmtId="41" fontId="9" fillId="0" borderId="52" xfId="1" applyFont="1" applyFill="1" applyBorder="1" applyAlignment="1">
      <alignment horizontal="left" vertical="center" shrinkToFit="1"/>
    </xf>
    <xf numFmtId="41" fontId="9" fillId="0" borderId="0" xfId="1" applyFont="1" applyFill="1" applyBorder="1" applyAlignment="1">
      <alignment horizontal="center" vertical="center" wrapText="1"/>
    </xf>
    <xf numFmtId="41" fontId="9" fillId="0" borderId="15" xfId="1" applyFont="1" applyFill="1" applyBorder="1" applyAlignment="1">
      <alignment horizontal="center" vertical="center" shrinkToFit="1"/>
    </xf>
    <xf numFmtId="0" fontId="9" fillId="0" borderId="53" xfId="0" applyFont="1" applyFill="1" applyBorder="1" applyAlignment="1">
      <alignment horizontal="justify" vertical="center" wrapText="1"/>
    </xf>
    <xf numFmtId="41" fontId="2" fillId="0" borderId="0" xfId="1" applyFont="1" applyAlignment="1">
      <alignment horizontal="right" vertical="center" shrinkToFit="1"/>
    </xf>
    <xf numFmtId="0" fontId="2" fillId="0" borderId="17" xfId="0" applyFont="1" applyBorder="1" applyAlignment="1">
      <alignment vertical="center"/>
    </xf>
    <xf numFmtId="41" fontId="5" fillId="0" borderId="2" xfId="1" applyFont="1" applyBorder="1" applyAlignment="1">
      <alignment horizontal="center" vertical="center" wrapText="1"/>
    </xf>
    <xf numFmtId="41" fontId="5" fillId="0" borderId="2" xfId="1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justify" vertical="center" wrapText="1"/>
    </xf>
    <xf numFmtId="41" fontId="5" fillId="0" borderId="62" xfId="1" applyFont="1" applyFill="1" applyBorder="1" applyAlignment="1">
      <alignment horizontal="left" vertical="center" shrinkToFit="1"/>
    </xf>
    <xf numFmtId="41" fontId="5" fillId="0" borderId="24" xfId="1" applyFont="1" applyFill="1" applyBorder="1" applyAlignment="1">
      <alignment horizontal="center" vertical="center" wrapText="1"/>
    </xf>
    <xf numFmtId="41" fontId="5" fillId="0" borderId="36" xfId="1" applyFont="1" applyFill="1" applyBorder="1" applyAlignment="1">
      <alignment horizontal="center" vertical="center" shrinkToFit="1"/>
    </xf>
    <xf numFmtId="41" fontId="4" fillId="0" borderId="0" xfId="1" applyFont="1" applyFill="1" applyBorder="1" applyAlignment="1">
      <alignment horizontal="left" vertical="center" wrapText="1"/>
    </xf>
    <xf numFmtId="41" fontId="4" fillId="0" borderId="26" xfId="1" applyFont="1" applyFill="1" applyBorder="1" applyAlignment="1">
      <alignment horizontal="left" vertical="center" wrapText="1"/>
    </xf>
    <xf numFmtId="41" fontId="4" fillId="0" borderId="27" xfId="1" applyFont="1" applyFill="1" applyBorder="1" applyAlignment="1">
      <alignment horizontal="left" vertical="center" wrapText="1"/>
    </xf>
    <xf numFmtId="41" fontId="5" fillId="0" borderId="23" xfId="1" applyFont="1" applyFill="1" applyBorder="1" applyAlignment="1">
      <alignment horizontal="left" vertical="center" shrinkToFit="1"/>
    </xf>
    <xf numFmtId="41" fontId="5" fillId="0" borderId="18" xfId="1" applyFont="1" applyFill="1" applyBorder="1" applyAlignment="1">
      <alignment horizontal="center" vertical="center" wrapText="1"/>
    </xf>
    <xf numFmtId="41" fontId="5" fillId="0" borderId="14" xfId="1" applyFont="1" applyFill="1" applyBorder="1" applyAlignment="1">
      <alignment horizontal="center" vertical="center" shrinkToFit="1"/>
    </xf>
    <xf numFmtId="41" fontId="5" fillId="0" borderId="35" xfId="1" applyFont="1" applyFill="1" applyBorder="1" applyAlignment="1">
      <alignment horizontal="left" vertical="center" shrinkToFit="1"/>
    </xf>
    <xf numFmtId="41" fontId="5" fillId="0" borderId="24" xfId="1" applyFont="1" applyFill="1" applyBorder="1" applyAlignment="1">
      <alignment horizontal="left" vertical="center" wrapText="1"/>
    </xf>
    <xf numFmtId="41" fontId="5" fillId="0" borderId="25" xfId="1" applyFont="1" applyFill="1" applyBorder="1" applyAlignment="1">
      <alignment horizontal="left" vertical="center" wrapText="1"/>
    </xf>
    <xf numFmtId="41" fontId="4" fillId="0" borderId="37" xfId="1" applyFont="1" applyFill="1" applyBorder="1" applyAlignment="1">
      <alignment horizontal="left" vertical="center" shrinkToFit="1"/>
    </xf>
    <xf numFmtId="41" fontId="4" fillId="0" borderId="39" xfId="1" applyFont="1" applyFill="1" applyBorder="1" applyAlignment="1">
      <alignment horizontal="left" vertical="center" wrapText="1"/>
    </xf>
    <xf numFmtId="41" fontId="4" fillId="0" borderId="29" xfId="1" applyFont="1" applyFill="1" applyBorder="1" applyAlignment="1">
      <alignment horizontal="left" vertical="center" shrinkToFit="1"/>
    </xf>
    <xf numFmtId="41" fontId="5" fillId="0" borderId="18" xfId="1" applyFont="1" applyFill="1" applyBorder="1" applyAlignment="1">
      <alignment horizontal="justify" vertical="center" wrapText="1"/>
    </xf>
    <xf numFmtId="41" fontId="5" fillId="0" borderId="52" xfId="1" applyFont="1" applyFill="1" applyBorder="1" applyAlignment="1">
      <alignment horizontal="left" vertical="center" shrinkToFit="1"/>
    </xf>
    <xf numFmtId="41" fontId="5" fillId="0" borderId="0" xfId="1" applyFont="1" applyFill="1" applyBorder="1" applyAlignment="1">
      <alignment horizontal="justify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41" fontId="5" fillId="0" borderId="2" xfId="1" applyFont="1" applyFill="1" applyBorder="1" applyAlignment="1">
      <alignment horizontal="justify" vertical="center" wrapText="1"/>
    </xf>
    <xf numFmtId="41" fontId="5" fillId="0" borderId="2" xfId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41" fontId="5" fillId="0" borderId="1" xfId="1" applyFont="1" applyFill="1" applyBorder="1" applyAlignment="1">
      <alignment horizontal="justify" vertical="center" wrapText="1"/>
    </xf>
    <xf numFmtId="41" fontId="5" fillId="0" borderId="1" xfId="1" applyFont="1" applyFill="1" applyBorder="1" applyAlignment="1">
      <alignment horizontal="right" vertical="center" shrinkToFit="1"/>
    </xf>
    <xf numFmtId="0" fontId="5" fillId="0" borderId="20" xfId="0" applyFont="1" applyFill="1" applyBorder="1" applyAlignment="1">
      <alignment horizontal="right" vertical="center" shrinkToFit="1"/>
    </xf>
    <xf numFmtId="0" fontId="0" fillId="0" borderId="0" xfId="0" applyFill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51" xfId="0" applyFont="1" applyFill="1" applyBorder="1" applyAlignment="1">
      <alignment horizontal="justify" vertical="center" wrapText="1"/>
    </xf>
    <xf numFmtId="41" fontId="5" fillId="0" borderId="52" xfId="1" applyFont="1" applyBorder="1" applyAlignment="1">
      <alignment horizontal="right" vertical="center" shrinkToFit="1"/>
    </xf>
    <xf numFmtId="41" fontId="5" fillId="0" borderId="52" xfId="1" applyFont="1" applyFill="1" applyBorder="1" applyAlignment="1">
      <alignment horizontal="right" vertical="center" shrinkToFit="1"/>
    </xf>
    <xf numFmtId="41" fontId="5" fillId="0" borderId="29" xfId="1" applyFont="1" applyFill="1" applyBorder="1" applyAlignment="1">
      <alignment horizontal="left" vertical="center" shrinkToFit="1"/>
    </xf>
    <xf numFmtId="0" fontId="4" fillId="0" borderId="69" xfId="0" applyFont="1" applyFill="1" applyBorder="1" applyAlignment="1">
      <alignment horizontal="justify" vertical="center" wrapText="1"/>
    </xf>
    <xf numFmtId="0" fontId="5" fillId="0" borderId="39" xfId="0" quotePrefix="1" applyFont="1" applyFill="1" applyBorder="1" applyAlignment="1">
      <alignment horizontal="justify" vertical="center" shrinkToFit="1"/>
    </xf>
    <xf numFmtId="41" fontId="5" fillId="0" borderId="28" xfId="1" applyFont="1" applyFill="1" applyBorder="1" applyAlignment="1">
      <alignment vertical="center" shrinkToFit="1"/>
    </xf>
    <xf numFmtId="0" fontId="4" fillId="0" borderId="53" xfId="0" applyFont="1" applyFill="1" applyBorder="1" applyAlignment="1">
      <alignment horizontal="justify" vertical="top" wrapText="1"/>
    </xf>
    <xf numFmtId="0" fontId="4" fillId="0" borderId="57" xfId="0" applyFont="1" applyFill="1" applyBorder="1" applyAlignment="1">
      <alignment horizontal="justify" vertical="top" wrapText="1"/>
    </xf>
    <xf numFmtId="176" fontId="5" fillId="0" borderId="15" xfId="1" applyNumberFormat="1" applyFont="1" applyFill="1" applyBorder="1" applyAlignment="1">
      <alignment horizontal="right" vertical="center" shrinkToFit="1"/>
    </xf>
    <xf numFmtId="0" fontId="2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0" xfId="0" quotePrefix="1" applyFont="1" applyBorder="1" applyAlignment="1">
      <alignment vertical="center" wrapText="1"/>
    </xf>
    <xf numFmtId="0" fontId="5" fillId="0" borderId="70" xfId="0" quotePrefix="1" applyFont="1" applyBorder="1" applyAlignment="1">
      <alignment vertical="center" wrapText="1"/>
    </xf>
    <xf numFmtId="177" fontId="5" fillId="0" borderId="1" xfId="1" applyNumberFormat="1" applyFont="1" applyBorder="1" applyAlignment="1">
      <alignment horizontal="right" vertical="center" wrapText="1"/>
    </xf>
    <xf numFmtId="41" fontId="5" fillId="0" borderId="43" xfId="1" applyFont="1" applyBorder="1" applyAlignment="1">
      <alignment horizontal="center" vertical="center" wrapText="1"/>
    </xf>
    <xf numFmtId="41" fontId="5" fillId="0" borderId="11" xfId="1" applyFont="1" applyBorder="1" applyAlignment="1">
      <alignment horizontal="justify" vertical="center" shrinkToFit="1"/>
    </xf>
    <xf numFmtId="41" fontId="5" fillId="0" borderId="28" xfId="1" applyFont="1" applyBorder="1" applyAlignment="1">
      <alignment horizontal="justify" vertical="center" shrinkToFit="1"/>
    </xf>
    <xf numFmtId="41" fontId="5" fillId="0" borderId="28" xfId="1" applyFont="1" applyFill="1" applyBorder="1" applyAlignment="1">
      <alignment horizontal="justify" vertical="center" shrinkToFit="1"/>
    </xf>
    <xf numFmtId="41" fontId="5" fillId="0" borderId="46" xfId="1" applyFont="1" applyBorder="1" applyAlignment="1">
      <alignment horizontal="justify" vertical="center" shrinkToFit="1"/>
    </xf>
    <xf numFmtId="41" fontId="4" fillId="0" borderId="0" xfId="1" applyFont="1" applyFill="1" applyBorder="1" applyAlignment="1">
      <alignment horizontal="left" vertical="center" shrinkToFit="1"/>
    </xf>
    <xf numFmtId="41" fontId="4" fillId="3" borderId="0" xfId="1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justify" vertical="top" wrapText="1"/>
    </xf>
    <xf numFmtId="41" fontId="5" fillId="3" borderId="42" xfId="1" applyFont="1" applyFill="1" applyBorder="1" applyAlignment="1">
      <alignment horizontal="justify" vertical="center" shrinkToFit="1"/>
    </xf>
    <xf numFmtId="41" fontId="5" fillId="3" borderId="42" xfId="1" applyFont="1" applyFill="1" applyBorder="1" applyAlignment="1">
      <alignment vertical="center" shrinkToFit="1"/>
    </xf>
    <xf numFmtId="41" fontId="4" fillId="3" borderId="72" xfId="1" applyFont="1" applyFill="1" applyBorder="1" applyAlignment="1">
      <alignment horizontal="left" vertical="center" wrapText="1"/>
    </xf>
    <xf numFmtId="41" fontId="4" fillId="3" borderId="59" xfId="1" applyFont="1" applyFill="1" applyBorder="1" applyAlignment="1">
      <alignment horizontal="left" vertical="center" wrapText="1"/>
    </xf>
    <xf numFmtId="41" fontId="4" fillId="3" borderId="60" xfId="1" applyFont="1" applyFill="1" applyBorder="1" applyAlignment="1">
      <alignment horizontal="left" vertical="center" wrapText="1"/>
    </xf>
    <xf numFmtId="0" fontId="4" fillId="3" borderId="73" xfId="0" applyFont="1" applyFill="1" applyBorder="1" applyAlignment="1">
      <alignment horizontal="justify" vertical="top" wrapText="1"/>
    </xf>
    <xf numFmtId="0" fontId="5" fillId="3" borderId="74" xfId="0" applyFont="1" applyFill="1" applyBorder="1" applyAlignment="1">
      <alignment horizontal="justify" vertical="center" shrinkToFit="1"/>
    </xf>
    <xf numFmtId="0" fontId="5" fillId="3" borderId="27" xfId="0" applyFont="1" applyFill="1" applyBorder="1" applyAlignment="1">
      <alignment horizontal="justify" vertical="center" shrinkToFit="1"/>
    </xf>
    <xf numFmtId="41" fontId="4" fillId="0" borderId="24" xfId="1" applyFont="1" applyFill="1" applyBorder="1" applyAlignment="1">
      <alignment horizontal="left" vertical="center" wrapText="1"/>
    </xf>
    <xf numFmtId="41" fontId="5" fillId="0" borderId="26" xfId="1" applyFont="1" applyFill="1" applyBorder="1" applyAlignment="1">
      <alignment horizontal="left" vertical="center" shrinkToFit="1"/>
    </xf>
    <xf numFmtId="0" fontId="4" fillId="0" borderId="58" xfId="0" applyFont="1" applyBorder="1" applyAlignment="1">
      <alignment horizontal="justify" vertical="top" wrapText="1"/>
    </xf>
    <xf numFmtId="41" fontId="5" fillId="0" borderId="35" xfId="1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justify" vertical="top" wrapText="1"/>
    </xf>
    <xf numFmtId="0" fontId="10" fillId="0" borderId="39" xfId="0" quotePrefix="1" applyFont="1" applyFill="1" applyBorder="1" applyAlignment="1">
      <alignment horizontal="justify" vertical="center" shrinkToFit="1"/>
    </xf>
    <xf numFmtId="0" fontId="4" fillId="0" borderId="44" xfId="0" applyFont="1" applyFill="1" applyBorder="1" applyAlignment="1">
      <alignment horizontal="justify" vertical="top" wrapText="1"/>
    </xf>
    <xf numFmtId="0" fontId="10" fillId="0" borderId="11" xfId="0" quotePrefix="1" applyFont="1" applyFill="1" applyBorder="1" applyAlignment="1">
      <alignment horizontal="justify" vertical="center" shrinkToFit="1"/>
    </xf>
    <xf numFmtId="0" fontId="10" fillId="0" borderId="10" xfId="0" quotePrefix="1" applyFont="1" applyFill="1" applyBorder="1" applyAlignment="1">
      <alignment horizontal="justify" vertical="center" shrinkToFit="1"/>
    </xf>
    <xf numFmtId="0" fontId="4" fillId="0" borderId="45" xfId="0" applyFont="1" applyFill="1" applyBorder="1" applyAlignment="1">
      <alignment horizontal="justify" vertical="top" wrapText="1"/>
    </xf>
    <xf numFmtId="0" fontId="5" fillId="0" borderId="11" xfId="0" quotePrefix="1" applyFont="1" applyFill="1" applyBorder="1" applyAlignment="1">
      <alignment horizontal="justify" vertical="center" shrinkToFit="1"/>
    </xf>
    <xf numFmtId="0" fontId="5" fillId="0" borderId="10" xfId="0" quotePrefix="1" applyFont="1" applyFill="1" applyBorder="1" applyAlignment="1">
      <alignment horizontal="justify" vertical="center" shrinkToFit="1"/>
    </xf>
    <xf numFmtId="0" fontId="5" fillId="0" borderId="49" xfId="0" quotePrefix="1" applyFont="1" applyBorder="1" applyAlignment="1">
      <alignment horizontal="justify" vertical="center" shrinkToFit="1"/>
    </xf>
    <xf numFmtId="0" fontId="4" fillId="0" borderId="75" xfId="0" applyFont="1" applyBorder="1" applyAlignment="1">
      <alignment horizontal="justify" vertical="top" wrapText="1"/>
    </xf>
    <xf numFmtId="0" fontId="4" fillId="3" borderId="58" xfId="0" applyFont="1" applyFill="1" applyBorder="1" applyAlignment="1">
      <alignment horizontal="justify" vertical="top" wrapText="1"/>
    </xf>
    <xf numFmtId="41" fontId="5" fillId="0" borderId="37" xfId="1" applyFont="1" applyFill="1" applyBorder="1" applyAlignment="1">
      <alignment horizontal="left" vertical="center" shrinkToFit="1"/>
    </xf>
    <xf numFmtId="0" fontId="10" fillId="0" borderId="27" xfId="0" quotePrefix="1" applyFont="1" applyBorder="1" applyAlignment="1">
      <alignment horizontal="justify" vertical="center" shrinkToFit="1"/>
    </xf>
    <xf numFmtId="41" fontId="4" fillId="0" borderId="37" xfId="1" applyFont="1" applyFill="1" applyBorder="1" applyAlignment="1">
      <alignment horizontal="left" vertical="center" wrapText="1"/>
    </xf>
    <xf numFmtId="41" fontId="5" fillId="0" borderId="35" xfId="1" applyFont="1" applyBorder="1" applyAlignment="1">
      <alignment horizontal="left" vertical="center" shrinkToFit="1"/>
    </xf>
    <xf numFmtId="41" fontId="4" fillId="0" borderId="24" xfId="1" applyFont="1" applyBorder="1" applyAlignment="1">
      <alignment horizontal="left" vertical="center" wrapText="1"/>
    </xf>
    <xf numFmtId="41" fontId="4" fillId="0" borderId="0" xfId="1" applyFont="1" applyBorder="1" applyAlignment="1">
      <alignment horizontal="left" vertical="center" wrapText="1"/>
    </xf>
    <xf numFmtId="41" fontId="5" fillId="0" borderId="37" xfId="1" applyFont="1" applyBorder="1" applyAlignment="1">
      <alignment horizontal="left" vertical="center" shrinkToFit="1"/>
    </xf>
    <xf numFmtId="41" fontId="4" fillId="0" borderId="39" xfId="1" applyFont="1" applyBorder="1" applyAlignment="1">
      <alignment horizontal="left" vertical="center" wrapText="1"/>
    </xf>
    <xf numFmtId="41" fontId="5" fillId="0" borderId="42" xfId="1" applyFont="1" applyBorder="1" applyAlignment="1">
      <alignment horizontal="justify" vertical="center" shrinkToFit="1"/>
    </xf>
    <xf numFmtId="41" fontId="5" fillId="0" borderId="42" xfId="1" applyFont="1" applyBorder="1" applyAlignment="1">
      <alignment vertical="center" shrinkToFit="1"/>
    </xf>
    <xf numFmtId="0" fontId="4" fillId="0" borderId="73" xfId="0" applyFont="1" applyBorder="1" applyAlignment="1">
      <alignment horizontal="justify" vertical="top" wrapText="1"/>
    </xf>
    <xf numFmtId="0" fontId="5" fillId="0" borderId="49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41" fontId="4" fillId="0" borderId="60" xfId="1" applyFont="1" applyBorder="1" applyAlignment="1">
      <alignment horizontal="left" vertical="center" wrapText="1"/>
    </xf>
    <xf numFmtId="41" fontId="4" fillId="0" borderId="72" xfId="1" applyFont="1" applyBorder="1" applyAlignment="1">
      <alignment horizontal="left" vertical="center" wrapText="1"/>
    </xf>
    <xf numFmtId="41" fontId="4" fillId="0" borderId="59" xfId="1" applyFont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41" fontId="4" fillId="3" borderId="52" xfId="1" applyFont="1" applyFill="1" applyBorder="1" applyAlignment="1">
      <alignment horizontal="left" vertical="center" shrinkToFit="1"/>
    </xf>
    <xf numFmtId="41" fontId="4" fillId="3" borderId="0" xfId="1" applyFont="1" applyFill="1" applyBorder="1" applyAlignment="1">
      <alignment horizontal="justify" vertical="center" wrapText="1"/>
    </xf>
    <xf numFmtId="41" fontId="4" fillId="3" borderId="15" xfId="1" applyFont="1" applyFill="1" applyBorder="1" applyAlignment="1">
      <alignment horizontal="center" vertical="center" shrinkToFit="1"/>
    </xf>
    <xf numFmtId="0" fontId="4" fillId="3" borderId="53" xfId="0" applyFont="1" applyFill="1" applyBorder="1" applyAlignment="1">
      <alignment horizontal="justify" vertical="center" wrapText="1"/>
    </xf>
    <xf numFmtId="41" fontId="5" fillId="3" borderId="3" xfId="1" applyFont="1" applyFill="1" applyBorder="1" applyAlignment="1">
      <alignment horizontal="justify" vertical="center" wrapText="1"/>
    </xf>
    <xf numFmtId="41" fontId="5" fillId="3" borderId="3" xfId="1" applyFont="1" applyFill="1" applyBorder="1" applyAlignment="1">
      <alignment horizontal="right" vertical="center" shrinkToFit="1"/>
    </xf>
    <xf numFmtId="41" fontId="4" fillId="3" borderId="77" xfId="1" applyFont="1" applyFill="1" applyBorder="1" applyAlignment="1">
      <alignment horizontal="left" vertical="center" shrinkToFit="1"/>
    </xf>
    <xf numFmtId="41" fontId="4" fillId="3" borderId="59" xfId="1" applyFont="1" applyFill="1" applyBorder="1" applyAlignment="1">
      <alignment horizontal="justify" vertical="center" wrapText="1"/>
    </xf>
    <xf numFmtId="41" fontId="4" fillId="3" borderId="12" xfId="1" applyFont="1" applyFill="1" applyBorder="1" applyAlignment="1">
      <alignment horizontal="center" vertical="center" shrinkToFit="1"/>
    </xf>
    <xf numFmtId="0" fontId="4" fillId="3" borderId="78" xfId="0" applyFont="1" applyFill="1" applyBorder="1" applyAlignment="1">
      <alignment horizontal="justify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177" fontId="5" fillId="3" borderId="3" xfId="1" applyNumberFormat="1" applyFont="1" applyFill="1" applyBorder="1" applyAlignment="1">
      <alignment horizontal="right" vertical="center" wrapText="1"/>
    </xf>
    <xf numFmtId="176" fontId="5" fillId="0" borderId="14" xfId="1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horizontal="justify" vertical="center" wrapText="1"/>
    </xf>
    <xf numFmtId="0" fontId="5" fillId="0" borderId="70" xfId="0" applyFont="1" applyFill="1" applyBorder="1" applyAlignment="1">
      <alignment vertical="center" shrinkToFit="1"/>
    </xf>
    <xf numFmtId="0" fontId="5" fillId="3" borderId="13" xfId="0" applyFont="1" applyFill="1" applyBorder="1" applyAlignment="1">
      <alignment horizontal="center" vertical="center" wrapText="1"/>
    </xf>
    <xf numFmtId="41" fontId="4" fillId="3" borderId="54" xfId="1" applyFont="1" applyFill="1" applyBorder="1" applyAlignment="1">
      <alignment horizontal="left" vertical="center" shrinkToFit="1"/>
    </xf>
    <xf numFmtId="41" fontId="4" fillId="3" borderId="55" xfId="1" applyFont="1" applyFill="1" applyBorder="1" applyAlignment="1">
      <alignment horizontal="justify" vertical="center" wrapText="1"/>
    </xf>
    <xf numFmtId="41" fontId="4" fillId="3" borderId="13" xfId="1" applyFont="1" applyFill="1" applyBorder="1" applyAlignment="1">
      <alignment horizontal="center" vertical="center" shrinkToFit="1"/>
    </xf>
    <xf numFmtId="0" fontId="4" fillId="3" borderId="56" xfId="0" applyFont="1" applyFill="1" applyBorder="1" applyAlignment="1">
      <alignment horizontal="justify" vertical="center" wrapText="1"/>
    </xf>
    <xf numFmtId="41" fontId="4" fillId="0" borderId="18" xfId="1" applyFont="1" applyBorder="1" applyAlignment="1">
      <alignment horizontal="justify" vertical="center" wrapText="1"/>
    </xf>
    <xf numFmtId="0" fontId="5" fillId="0" borderId="14" xfId="1" applyNumberFormat="1" applyFont="1" applyBorder="1" applyAlignment="1">
      <alignment horizontal="right" vertical="center" shrinkToFit="1"/>
    </xf>
    <xf numFmtId="0" fontId="5" fillId="0" borderId="79" xfId="0" quotePrefix="1" applyFont="1" applyBorder="1" applyAlignment="1">
      <alignment horizontal="left" vertical="center" wrapText="1"/>
    </xf>
    <xf numFmtId="41" fontId="5" fillId="0" borderId="54" xfId="1" applyFont="1" applyBorder="1" applyAlignment="1">
      <alignment horizontal="left" vertical="center" shrinkToFit="1"/>
    </xf>
    <xf numFmtId="41" fontId="4" fillId="0" borderId="55" xfId="1" applyFont="1" applyBorder="1" applyAlignment="1">
      <alignment horizontal="justify" vertical="center" wrapText="1"/>
    </xf>
    <xf numFmtId="0" fontId="5" fillId="0" borderId="13" xfId="1" applyNumberFormat="1" applyFont="1" applyBorder="1" applyAlignment="1">
      <alignment horizontal="right" vertical="center" shrinkToFit="1"/>
    </xf>
    <xf numFmtId="0" fontId="5" fillId="0" borderId="80" xfId="0" quotePrefix="1" applyFont="1" applyBorder="1" applyAlignment="1">
      <alignment horizontal="left" vertical="center" wrapText="1"/>
    </xf>
    <xf numFmtId="0" fontId="5" fillId="0" borderId="80" xfId="0" quotePrefix="1" applyFont="1" applyBorder="1" applyAlignment="1">
      <alignment horizontal="left" vertical="center" shrinkToFit="1"/>
    </xf>
    <xf numFmtId="0" fontId="5" fillId="0" borderId="79" xfId="0" quotePrefix="1" applyFont="1" applyBorder="1" applyAlignment="1">
      <alignment horizontal="left" vertical="center" shrinkToFit="1"/>
    </xf>
    <xf numFmtId="0" fontId="4" fillId="0" borderId="73" xfId="0" applyFont="1" applyBorder="1" applyAlignment="1">
      <alignment horizontal="justify" vertical="center" wrapText="1"/>
    </xf>
    <xf numFmtId="0" fontId="0" fillId="0" borderId="50" xfId="0" applyBorder="1" applyAlignment="1">
      <alignment vertical="center"/>
    </xf>
    <xf numFmtId="41" fontId="4" fillId="0" borderId="60" xfId="1" applyFont="1" applyBorder="1" applyAlignment="1">
      <alignment horizontal="center" vertical="center" shrinkToFit="1"/>
    </xf>
    <xf numFmtId="41" fontId="0" fillId="0" borderId="49" xfId="1" applyFont="1" applyBorder="1" applyAlignment="1">
      <alignment horizontal="center" vertical="center" shrinkToFit="1"/>
    </xf>
    <xf numFmtId="41" fontId="4" fillId="0" borderId="72" xfId="1" applyFont="1" applyBorder="1" applyAlignment="1">
      <alignment horizontal="left" vertical="center" shrinkToFit="1"/>
    </xf>
    <xf numFmtId="41" fontId="4" fillId="0" borderId="59" xfId="1" applyFont="1" applyBorder="1" applyAlignment="1">
      <alignment horizontal="justify" vertical="center" wrapText="1"/>
    </xf>
    <xf numFmtId="41" fontId="0" fillId="0" borderId="47" xfId="1" applyFont="1" applyBorder="1" applyAlignment="1">
      <alignment horizontal="left" vertical="center" shrinkToFit="1"/>
    </xf>
    <xf numFmtId="41" fontId="0" fillId="0" borderId="48" xfId="1" applyFont="1" applyBorder="1" applyAlignment="1">
      <alignment vertical="center"/>
    </xf>
    <xf numFmtId="0" fontId="2" fillId="0" borderId="76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1" fontId="5" fillId="0" borderId="11" xfId="1" applyNumberFormat="1" applyFont="1" applyFill="1" applyBorder="1" applyAlignment="1">
      <alignment horizontal="right" vertical="center" shrinkToFit="1"/>
    </xf>
    <xf numFmtId="0" fontId="10" fillId="0" borderId="28" xfId="0" quotePrefix="1" applyFont="1" applyBorder="1" applyAlignment="1">
      <alignment horizontal="justify" vertical="center" shrinkToFit="1"/>
    </xf>
    <xf numFmtId="1" fontId="5" fillId="3" borderId="42" xfId="1" applyNumberFormat="1" applyFont="1" applyFill="1" applyBorder="1" applyAlignment="1">
      <alignment horizontal="right" vertical="center" shrinkToFit="1"/>
    </xf>
    <xf numFmtId="49" fontId="5" fillId="3" borderId="2" xfId="1" applyNumberFormat="1" applyFont="1" applyFill="1" applyBorder="1" applyAlignment="1">
      <alignment horizontal="justify" vertical="center" wrapText="1"/>
    </xf>
    <xf numFmtId="49" fontId="5" fillId="3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justify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right" vertical="center" wrapText="1"/>
    </xf>
    <xf numFmtId="49" fontId="5" fillId="3" borderId="2" xfId="1" applyNumberFormat="1" applyFont="1" applyFill="1" applyBorder="1" applyAlignment="1">
      <alignment horizontal="right" vertical="center" wrapText="1"/>
    </xf>
    <xf numFmtId="49" fontId="5" fillId="0" borderId="64" xfId="1" applyNumberFormat="1" applyFont="1" applyBorder="1" applyAlignment="1">
      <alignment horizontal="center" vertical="center" wrapText="1"/>
    </xf>
    <xf numFmtId="0" fontId="5" fillId="0" borderId="66" xfId="0" quotePrefix="1" applyFont="1" applyBorder="1" applyAlignment="1">
      <alignment horizontal="left" vertical="center" wrapText="1"/>
    </xf>
    <xf numFmtId="49" fontId="5" fillId="0" borderId="64" xfId="1" applyNumberFormat="1" applyFont="1" applyBorder="1" applyAlignment="1">
      <alignment horizontal="right" vertical="center" wrapText="1"/>
    </xf>
    <xf numFmtId="41" fontId="5" fillId="0" borderId="65" xfId="1" applyFont="1" applyBorder="1" applyAlignment="1">
      <alignment horizontal="left" vertical="center" shrinkToFit="1"/>
    </xf>
    <xf numFmtId="41" fontId="4" fillId="0" borderId="48" xfId="1" applyFont="1" applyBorder="1" applyAlignment="1">
      <alignment horizontal="justify" vertical="center" wrapText="1"/>
    </xf>
    <xf numFmtId="0" fontId="5" fillId="0" borderId="66" xfId="1" applyNumberFormat="1" applyFont="1" applyBorder="1" applyAlignment="1">
      <alignment horizontal="right" vertical="center" shrinkToFit="1"/>
    </xf>
    <xf numFmtId="41" fontId="5" fillId="0" borderId="2" xfId="1" applyFont="1" applyBorder="1" applyAlignment="1">
      <alignment horizontal="right" vertical="center" wrapText="1"/>
    </xf>
    <xf numFmtId="177" fontId="5" fillId="0" borderId="42" xfId="1" applyNumberFormat="1" applyFont="1" applyBorder="1" applyAlignment="1">
      <alignment horizontal="right" vertical="center" wrapText="1"/>
    </xf>
    <xf numFmtId="49" fontId="11" fillId="0" borderId="46" xfId="1" applyNumberFormat="1" applyFont="1" applyBorder="1" applyAlignment="1">
      <alignment horizontal="center" vertical="center"/>
    </xf>
    <xf numFmtId="49" fontId="11" fillId="0" borderId="46" xfId="1" applyNumberFormat="1" applyFont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14" fillId="0" borderId="59" xfId="0" applyFont="1" applyBorder="1">
      <alignment vertical="center"/>
    </xf>
    <xf numFmtId="0" fontId="14" fillId="0" borderId="78" xfId="0" applyFont="1" applyBorder="1">
      <alignment vertical="center"/>
    </xf>
    <xf numFmtId="0" fontId="13" fillId="0" borderId="17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53" xfId="0" applyFont="1" applyBorder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18" fillId="0" borderId="53" xfId="0" applyFont="1" applyBorder="1" applyAlignment="1">
      <alignment horizontal="centerContinuous" vertical="center"/>
    </xf>
    <xf numFmtId="0" fontId="14" fillId="0" borderId="17" xfId="0" applyFont="1" applyBorder="1">
      <alignment vertical="center"/>
    </xf>
    <xf numFmtId="0" fontId="14" fillId="0" borderId="76" xfId="0" applyFont="1" applyBorder="1">
      <alignment vertical="center"/>
    </xf>
    <xf numFmtId="0" fontId="14" fillId="0" borderId="48" xfId="0" applyFont="1" applyBorder="1">
      <alignment vertical="center"/>
    </xf>
    <xf numFmtId="0" fontId="14" fillId="0" borderId="67" xfId="0" applyFont="1" applyBorder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1" fillId="0" borderId="17" xfId="0" applyFont="1" applyBorder="1">
      <alignment vertical="center"/>
    </xf>
    <xf numFmtId="0" fontId="21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20" fillId="0" borderId="53" xfId="0" applyFont="1" applyBorder="1">
      <alignment vertical="center"/>
    </xf>
    <xf numFmtId="41" fontId="21" fillId="0" borderId="0" xfId="0" applyNumberFormat="1" applyFont="1" applyBorder="1">
      <alignment vertical="center"/>
    </xf>
    <xf numFmtId="0" fontId="21" fillId="0" borderId="53" xfId="0" applyFont="1" applyBorder="1">
      <alignment vertical="center"/>
    </xf>
    <xf numFmtId="0" fontId="21" fillId="0" borderId="76" xfId="0" applyFont="1" applyBorder="1">
      <alignment vertical="center"/>
    </xf>
    <xf numFmtId="0" fontId="21" fillId="0" borderId="48" xfId="0" applyFont="1" applyBorder="1">
      <alignment vertical="center"/>
    </xf>
    <xf numFmtId="0" fontId="21" fillId="0" borderId="67" xfId="0" applyFont="1" applyBorder="1">
      <alignment vertical="center"/>
    </xf>
    <xf numFmtId="41" fontId="5" fillId="0" borderId="24" xfId="1" applyFont="1" applyFill="1" applyBorder="1" applyAlignment="1">
      <alignment horizontal="left" vertical="center" shrinkToFit="1"/>
    </xf>
    <xf numFmtId="0" fontId="5" fillId="0" borderId="22" xfId="0" applyFont="1" applyFill="1" applyBorder="1" applyAlignment="1">
      <alignment horizontal="left" vertical="center" wrapText="1"/>
    </xf>
    <xf numFmtId="41" fontId="4" fillId="0" borderId="0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top" wrapText="1"/>
    </xf>
    <xf numFmtId="41" fontId="4" fillId="0" borderId="55" xfId="1" applyFont="1" applyFill="1" applyBorder="1" applyAlignment="1">
      <alignment horizontal="center" vertical="center" wrapText="1"/>
    </xf>
    <xf numFmtId="41" fontId="4" fillId="0" borderId="18" xfId="1" applyFont="1" applyFill="1" applyBorder="1" applyAlignment="1">
      <alignment horizontal="justify" vertical="center" wrapText="1"/>
    </xf>
    <xf numFmtId="41" fontId="4" fillId="0" borderId="68" xfId="1" applyFont="1" applyFill="1" applyBorder="1" applyAlignment="1">
      <alignment horizontal="left" vertical="center" shrinkToFit="1"/>
    </xf>
    <xf numFmtId="41" fontId="4" fillId="0" borderId="26" xfId="1" applyFont="1" applyFill="1" applyBorder="1" applyAlignment="1">
      <alignment horizontal="justify" vertical="center" wrapText="1"/>
    </xf>
    <xf numFmtId="41" fontId="4" fillId="0" borderId="38" xfId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justify" vertical="center" wrapText="1"/>
    </xf>
    <xf numFmtId="41" fontId="4" fillId="0" borderId="27" xfId="1" applyFont="1" applyFill="1" applyBorder="1" applyAlignment="1">
      <alignment horizontal="center" vertical="center" shrinkToFit="1"/>
    </xf>
    <xf numFmtId="41" fontId="5" fillId="0" borderId="26" xfId="1" applyFont="1" applyFill="1" applyBorder="1" applyAlignment="1">
      <alignment horizontal="justify" vertical="center" wrapText="1"/>
    </xf>
    <xf numFmtId="41" fontId="5" fillId="0" borderId="12" xfId="1" applyFont="1" applyBorder="1" applyAlignment="1">
      <alignment vertical="center" shrinkToFit="1"/>
    </xf>
    <xf numFmtId="41" fontId="5" fillId="0" borderId="15" xfId="1" applyFont="1" applyFill="1" applyBorder="1" applyAlignment="1">
      <alignment horizontal="center" vertical="center" shrinkToFit="1"/>
    </xf>
    <xf numFmtId="0" fontId="5" fillId="0" borderId="15" xfId="0" quotePrefix="1" applyFont="1" applyBorder="1" applyAlignment="1">
      <alignment vertical="center" wrapText="1"/>
    </xf>
    <xf numFmtId="41" fontId="5" fillId="0" borderId="81" xfId="1" applyFont="1" applyFill="1" applyBorder="1" applyAlignment="1">
      <alignment horizontal="left" vertical="center" shrinkToFit="1"/>
    </xf>
    <xf numFmtId="41" fontId="5" fillId="0" borderId="11" xfId="1" applyFont="1" applyFill="1" applyBorder="1" applyAlignment="1">
      <alignment horizontal="right" vertical="center" shrinkToFit="1"/>
    </xf>
    <xf numFmtId="0" fontId="5" fillId="0" borderId="15" xfId="0" quotePrefix="1" applyFont="1" applyFill="1" applyBorder="1" applyAlignment="1">
      <alignment horizontal="left" vertical="top" wrapText="1"/>
    </xf>
    <xf numFmtId="0" fontId="4" fillId="0" borderId="58" xfId="0" applyFont="1" applyBorder="1" applyAlignment="1">
      <alignment horizontal="justify" vertical="center" wrapText="1"/>
    </xf>
    <xf numFmtId="41" fontId="5" fillId="0" borderId="25" xfId="1" applyFont="1" applyFill="1" applyBorder="1" applyAlignment="1">
      <alignment horizontal="right" vertical="center" shrinkToFit="1"/>
    </xf>
    <xf numFmtId="0" fontId="4" fillId="0" borderId="41" xfId="0" applyFont="1" applyBorder="1" applyAlignment="1">
      <alignment horizontal="justify" vertical="center" wrapText="1"/>
    </xf>
    <xf numFmtId="0" fontId="4" fillId="0" borderId="45" xfId="0" applyFont="1" applyBorder="1" applyAlignment="1">
      <alignment horizontal="justify" vertical="center" wrapText="1"/>
    </xf>
    <xf numFmtId="41" fontId="5" fillId="0" borderId="14" xfId="1" applyFont="1" applyFill="1" applyBorder="1" applyAlignment="1">
      <alignment horizontal="right" vertical="center" shrinkToFit="1"/>
    </xf>
    <xf numFmtId="0" fontId="0" fillId="4" borderId="0" xfId="0" applyFill="1">
      <alignment vertical="center"/>
    </xf>
    <xf numFmtId="0" fontId="5" fillId="0" borderId="28" xfId="1" applyNumberFormat="1" applyFont="1" applyBorder="1" applyAlignment="1">
      <alignment vertical="center" shrinkToFit="1"/>
    </xf>
    <xf numFmtId="0" fontId="5" fillId="0" borderId="28" xfId="1" applyNumberFormat="1" applyFont="1" applyBorder="1" applyAlignment="1">
      <alignment horizontal="justify" vertical="center" shrinkToFit="1"/>
    </xf>
    <xf numFmtId="3" fontId="0" fillId="0" borderId="0" xfId="0" applyNumberFormat="1" applyAlignment="1">
      <alignment vertical="center"/>
    </xf>
    <xf numFmtId="41" fontId="4" fillId="0" borderId="14" xfId="1" applyFont="1" applyFill="1" applyBorder="1" applyAlignment="1">
      <alignment horizontal="right" vertical="center" shrinkToFit="1"/>
    </xf>
    <xf numFmtId="41" fontId="5" fillId="3" borderId="42" xfId="1" applyFont="1" applyFill="1" applyBorder="1" applyAlignment="1">
      <alignment horizontal="right" vertical="center" shrinkToFit="1"/>
    </xf>
    <xf numFmtId="0" fontId="5" fillId="0" borderId="15" xfId="0" applyFont="1" applyBorder="1" applyAlignment="1">
      <alignment horizontal="center" vertical="top" wrapText="1"/>
    </xf>
    <xf numFmtId="41" fontId="4" fillId="4" borderId="52" xfId="1" applyFont="1" applyFill="1" applyBorder="1" applyAlignment="1">
      <alignment horizontal="left" vertical="center" shrinkToFit="1"/>
    </xf>
    <xf numFmtId="41" fontId="4" fillId="4" borderId="15" xfId="1" applyFont="1" applyFill="1" applyBorder="1" applyAlignment="1">
      <alignment horizontal="center" vertical="center" shrinkToFit="1"/>
    </xf>
    <xf numFmtId="41" fontId="4" fillId="0" borderId="84" xfId="1" applyFont="1" applyFill="1" applyBorder="1" applyAlignment="1">
      <alignment horizontal="left"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82" xfId="1" applyFont="1" applyFill="1" applyBorder="1" applyAlignment="1">
      <alignment horizontal="left" vertical="center" wrapText="1"/>
    </xf>
    <xf numFmtId="41" fontId="5" fillId="0" borderId="0" xfId="1" applyFont="1" applyBorder="1" applyAlignment="1">
      <alignment vertical="center" shrinkToFit="1"/>
    </xf>
    <xf numFmtId="0" fontId="10" fillId="0" borderId="24" xfId="0" quotePrefix="1" applyFont="1" applyFill="1" applyBorder="1" applyAlignment="1">
      <alignment horizontal="justify" vertical="center" shrinkToFit="1"/>
    </xf>
    <xf numFmtId="41" fontId="5" fillId="0" borderId="28" xfId="1" applyFont="1" applyFill="1" applyBorder="1" applyAlignment="1">
      <alignment horizontal="right" vertical="center" shrinkToFit="1"/>
    </xf>
    <xf numFmtId="1" fontId="5" fillId="0" borderId="28" xfId="1" applyNumberFormat="1" applyFont="1" applyFill="1" applyBorder="1" applyAlignment="1">
      <alignment horizontal="right" vertical="center" shrinkToFit="1"/>
    </xf>
    <xf numFmtId="1" fontId="5" fillId="0" borderId="24" xfId="1" applyNumberFormat="1" applyFont="1" applyFill="1" applyBorder="1" applyAlignment="1">
      <alignment horizontal="right" vertical="center" shrinkToFit="1"/>
    </xf>
    <xf numFmtId="41" fontId="5" fillId="0" borderId="25" xfId="1" applyFont="1" applyBorder="1" applyAlignment="1">
      <alignment vertical="center" shrinkToFit="1"/>
    </xf>
    <xf numFmtId="41" fontId="5" fillId="0" borderId="14" xfId="1" applyFont="1" applyBorder="1" applyAlignment="1">
      <alignment horizontal="right" vertical="center" shrinkToFit="1"/>
    </xf>
    <xf numFmtId="41" fontId="5" fillId="0" borderId="13" xfId="1" applyFont="1" applyBorder="1" applyAlignment="1">
      <alignment horizontal="right" vertical="center" shrinkToFit="1"/>
    </xf>
    <xf numFmtId="41" fontId="4" fillId="4" borderId="0" xfId="1" applyFont="1" applyFill="1" applyBorder="1" applyAlignment="1">
      <alignment horizontal="center" vertical="center" wrapText="1"/>
    </xf>
    <xf numFmtId="41" fontId="4" fillId="4" borderId="0" xfId="1" applyFont="1" applyFill="1" applyBorder="1" applyAlignment="1">
      <alignment horizontal="justify" vertical="center" wrapText="1"/>
    </xf>
    <xf numFmtId="41" fontId="4" fillId="4" borderId="0" xfId="1" applyFont="1" applyFill="1" applyBorder="1" applyAlignment="1">
      <alignment horizontal="left" vertical="center" wrapText="1"/>
    </xf>
    <xf numFmtId="41" fontId="4" fillId="4" borderId="0" xfId="1" applyFont="1" applyFill="1" applyBorder="1" applyAlignment="1">
      <alignment horizontal="left" vertical="center" shrinkToFit="1"/>
    </xf>
    <xf numFmtId="41" fontId="4" fillId="4" borderId="54" xfId="1" applyFont="1" applyFill="1" applyBorder="1" applyAlignment="1">
      <alignment horizontal="left" vertical="center" shrinkToFit="1"/>
    </xf>
    <xf numFmtId="41" fontId="4" fillId="4" borderId="26" xfId="1" applyFont="1" applyFill="1" applyBorder="1" applyAlignment="1">
      <alignment horizontal="left" vertical="center" wrapText="1"/>
    </xf>
    <xf numFmtId="41" fontId="4" fillId="4" borderId="27" xfId="1" applyFont="1" applyFill="1" applyBorder="1" applyAlignment="1">
      <alignment horizontal="left" vertical="center" wrapText="1"/>
    </xf>
    <xf numFmtId="41" fontId="5" fillId="4" borderId="23" xfId="1" applyFont="1" applyFill="1" applyBorder="1" applyAlignment="1">
      <alignment horizontal="left" vertical="center" shrinkToFit="1"/>
    </xf>
    <xf numFmtId="41" fontId="5" fillId="4" borderId="18" xfId="1" applyFont="1" applyFill="1" applyBorder="1" applyAlignment="1">
      <alignment horizontal="center" vertical="center" wrapText="1"/>
    </xf>
    <xf numFmtId="41" fontId="5" fillId="4" borderId="14" xfId="1" applyFont="1" applyFill="1" applyBorder="1" applyAlignment="1">
      <alignment horizontal="center" vertical="center" shrinkToFit="1"/>
    </xf>
    <xf numFmtId="41" fontId="4" fillId="4" borderId="0" xfId="1" applyFont="1" applyFill="1" applyBorder="1" applyAlignment="1">
      <alignment horizontal="center" vertical="center" shrinkToFit="1"/>
    </xf>
    <xf numFmtId="41" fontId="4" fillId="4" borderId="55" xfId="1" applyFont="1" applyFill="1" applyBorder="1" applyAlignment="1">
      <alignment horizontal="justify" vertical="center" wrapText="1"/>
    </xf>
    <xf numFmtId="41" fontId="4" fillId="4" borderId="13" xfId="1" applyFont="1" applyFill="1" applyBorder="1" applyAlignment="1">
      <alignment horizontal="center" vertical="center" shrinkToFit="1"/>
    </xf>
    <xf numFmtId="41" fontId="5" fillId="4" borderId="18" xfId="1" applyFont="1" applyFill="1" applyBorder="1" applyAlignment="1">
      <alignment horizontal="justify" vertical="center" wrapText="1"/>
    </xf>
    <xf numFmtId="41" fontId="4" fillId="4" borderId="18" xfId="1" applyFont="1" applyFill="1" applyBorder="1" applyAlignment="1">
      <alignment horizontal="justify" vertical="center" wrapText="1"/>
    </xf>
    <xf numFmtId="41" fontId="5" fillId="0" borderId="0" xfId="1" applyFont="1" applyFill="1" applyBorder="1" applyAlignment="1">
      <alignment horizontal="left" vertical="center" wrapText="1"/>
    </xf>
    <xf numFmtId="41" fontId="4" fillId="4" borderId="37" xfId="1" applyFont="1" applyFill="1" applyBorder="1" applyAlignment="1">
      <alignment horizontal="left" vertical="center" shrinkToFit="1"/>
    </xf>
    <xf numFmtId="41" fontId="4" fillId="4" borderId="39" xfId="1" applyFont="1" applyFill="1" applyBorder="1" applyAlignment="1">
      <alignment horizontal="left" vertical="center" wrapText="1"/>
    </xf>
    <xf numFmtId="41" fontId="5" fillId="0" borderId="14" xfId="1" applyNumberFormat="1" applyFont="1" applyBorder="1" applyAlignment="1">
      <alignment horizontal="right" vertical="center" shrinkToFit="1"/>
    </xf>
    <xf numFmtId="41" fontId="5" fillId="3" borderId="12" xfId="1" applyFont="1" applyFill="1" applyBorder="1" applyAlignment="1">
      <alignment horizontal="center" vertical="center" shrinkToFit="1"/>
    </xf>
    <xf numFmtId="41" fontId="4" fillId="4" borderId="52" xfId="1" applyFont="1" applyFill="1" applyBorder="1" applyAlignment="1">
      <alignment horizontal="left" vertical="center" wrapText="1" shrinkToFit="1"/>
    </xf>
    <xf numFmtId="0" fontId="5" fillId="0" borderId="14" xfId="0" quotePrefix="1" applyFont="1" applyBorder="1" applyAlignment="1">
      <alignment horizontal="left" vertical="top" wrapText="1" shrinkToFit="1"/>
    </xf>
    <xf numFmtId="41" fontId="4" fillId="0" borderId="52" xfId="1" applyFont="1" applyFill="1" applyBorder="1" applyAlignment="1">
      <alignment horizontal="left" vertical="center" wrapText="1" shrinkToFit="1"/>
    </xf>
    <xf numFmtId="41" fontId="4" fillId="4" borderId="55" xfId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justify" vertical="center" wrapText="1"/>
    </xf>
    <xf numFmtId="41" fontId="4" fillId="0" borderId="39" xfId="1" applyFont="1" applyFill="1" applyBorder="1" applyAlignment="1">
      <alignment horizontal="right" vertical="center" shrinkToFit="1"/>
    </xf>
    <xf numFmtId="41" fontId="5" fillId="0" borderId="86" xfId="1" applyFont="1" applyFill="1" applyBorder="1" applyAlignment="1">
      <alignment horizontal="right" vertical="center" shrinkToFit="1"/>
    </xf>
    <xf numFmtId="0" fontId="4" fillId="0" borderId="83" xfId="0" applyFont="1" applyBorder="1" applyAlignment="1">
      <alignment horizontal="justify" vertical="top" wrapText="1"/>
    </xf>
    <xf numFmtId="41" fontId="4" fillId="0" borderId="15" xfId="1" applyFont="1" applyFill="1" applyBorder="1" applyAlignment="1">
      <alignment horizontal="right" vertical="center" shrinkToFit="1"/>
    </xf>
    <xf numFmtId="41" fontId="0" fillId="0" borderId="0" xfId="0" applyNumberFormat="1" applyFill="1" applyAlignment="1">
      <alignment vertical="center"/>
    </xf>
    <xf numFmtId="41" fontId="5" fillId="4" borderId="42" xfId="1" applyFont="1" applyFill="1" applyBorder="1" applyAlignment="1">
      <alignment vertical="center" shrinkToFit="1"/>
    </xf>
    <xf numFmtId="41" fontId="5" fillId="0" borderId="0" xfId="1" applyFont="1" applyBorder="1" applyAlignment="1">
      <alignment horizontal="justify" vertical="center" shrinkToFit="1"/>
    </xf>
    <xf numFmtId="0" fontId="5" fillId="4" borderId="20" xfId="0" applyFont="1" applyFill="1" applyBorder="1" applyAlignment="1">
      <alignment horizontal="right" vertical="center" shrinkToFit="1"/>
    </xf>
    <xf numFmtId="0" fontId="5" fillId="4" borderId="39" xfId="0" quotePrefix="1" applyFont="1" applyFill="1" applyBorder="1" applyAlignment="1">
      <alignment horizontal="justify" vertical="center" shrinkToFit="1"/>
    </xf>
    <xf numFmtId="41" fontId="5" fillId="4" borderId="28" xfId="1" applyFont="1" applyFill="1" applyBorder="1" applyAlignment="1">
      <alignment vertical="center" shrinkToFit="1"/>
    </xf>
    <xf numFmtId="41" fontId="5" fillId="4" borderId="28" xfId="1" applyFont="1" applyFill="1" applyBorder="1" applyAlignment="1">
      <alignment horizontal="justify" vertical="center" shrinkToFit="1"/>
    </xf>
    <xf numFmtId="0" fontId="4" fillId="4" borderId="53" xfId="0" applyFont="1" applyFill="1" applyBorder="1" applyAlignment="1">
      <alignment horizontal="justify" vertical="top" wrapText="1"/>
    </xf>
    <xf numFmtId="41" fontId="4" fillId="4" borderId="81" xfId="1" applyFont="1" applyFill="1" applyBorder="1" applyAlignment="1">
      <alignment horizontal="left" vertical="center" shrinkToFit="1"/>
    </xf>
    <xf numFmtId="41" fontId="4" fillId="4" borderId="85" xfId="1" applyFont="1" applyFill="1" applyBorder="1" applyAlignment="1">
      <alignment horizontal="right" vertical="center" shrinkToFit="1"/>
    </xf>
    <xf numFmtId="41" fontId="4" fillId="4" borderId="82" xfId="1" applyFont="1" applyFill="1" applyBorder="1" applyAlignment="1">
      <alignment horizontal="left" vertical="center" wrapText="1"/>
    </xf>
    <xf numFmtId="41" fontId="0" fillId="0" borderId="0" xfId="0" applyNumberFormat="1" applyAlignment="1">
      <alignment vertical="center"/>
    </xf>
    <xf numFmtId="0" fontId="5" fillId="0" borderId="15" xfId="0" quotePrefix="1" applyFont="1" applyFill="1" applyBorder="1" applyAlignment="1">
      <alignment horizontal="left" vertical="top" wrapText="1"/>
    </xf>
    <xf numFmtId="41" fontId="5" fillId="0" borderId="0" xfId="1" applyFont="1" applyFill="1" applyBorder="1" applyAlignment="1">
      <alignment horizontal="right" vertical="center" shrinkToFit="1"/>
    </xf>
    <xf numFmtId="1" fontId="5" fillId="0" borderId="0" xfId="1" applyNumberFormat="1" applyFont="1" applyFill="1" applyBorder="1" applyAlignment="1">
      <alignment horizontal="right" vertical="center" shrinkToFit="1"/>
    </xf>
    <xf numFmtId="49" fontId="5" fillId="0" borderId="52" xfId="1" applyNumberFormat="1" applyFont="1" applyBorder="1" applyAlignment="1">
      <alignment horizontal="right" vertical="center" wrapText="1"/>
    </xf>
    <xf numFmtId="49" fontId="5" fillId="0" borderId="15" xfId="1" applyNumberFormat="1" applyFont="1" applyBorder="1" applyAlignment="1">
      <alignment horizontal="right" vertical="center" wrapText="1"/>
    </xf>
    <xf numFmtId="41" fontId="5" fillId="0" borderId="22" xfId="1" applyFont="1" applyBorder="1" applyAlignment="1">
      <alignment vertical="center" shrinkToFit="1"/>
    </xf>
    <xf numFmtId="49" fontId="5" fillId="0" borderId="87" xfId="1" applyNumberFormat="1" applyFont="1" applyBorder="1" applyAlignment="1">
      <alignment horizontal="right" vertical="center" wrapText="1"/>
    </xf>
    <xf numFmtId="41" fontId="4" fillId="0" borderId="52" xfId="1" applyFont="1" applyBorder="1" applyAlignment="1">
      <alignment horizontal="left" vertical="center" shrinkToFit="1"/>
    </xf>
    <xf numFmtId="41" fontId="4" fillId="0" borderId="15" xfId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71" xfId="0" applyFont="1" applyFill="1" applyBorder="1" applyAlignment="1">
      <alignment horizontal="justify" vertical="center" shrinkToFit="1"/>
    </xf>
    <xf numFmtId="0" fontId="5" fillId="3" borderId="42" xfId="0" applyFont="1" applyFill="1" applyBorder="1" applyAlignment="1">
      <alignment horizontal="justify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23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0" borderId="48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justify" vertical="center" shrinkToFit="1"/>
    </xf>
    <xf numFmtId="0" fontId="5" fillId="3" borderId="60" xfId="0" applyFont="1" applyFill="1" applyBorder="1" applyAlignment="1">
      <alignment horizontal="justify" vertical="center" shrinkToFit="1"/>
    </xf>
    <xf numFmtId="41" fontId="5" fillId="0" borderId="59" xfId="1" applyFont="1" applyBorder="1" applyAlignment="1">
      <alignment horizontal="center" vertical="center" wrapText="1"/>
    </xf>
    <xf numFmtId="41" fontId="5" fillId="0" borderId="60" xfId="1" applyFont="1" applyBorder="1" applyAlignment="1">
      <alignment horizontal="center" vertical="center" wrapText="1"/>
    </xf>
    <xf numFmtId="41" fontId="5" fillId="0" borderId="48" xfId="1" applyFont="1" applyBorder="1" applyAlignment="1">
      <alignment horizontal="center" vertical="center" wrapText="1"/>
    </xf>
    <xf numFmtId="41" fontId="5" fillId="0" borderId="49" xfId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9" xfId="0" quotePrefix="1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4" xfId="0" quotePrefix="1" applyFont="1" applyBorder="1" applyAlignment="1">
      <alignment horizontal="center" vertical="top" wrapText="1"/>
    </xf>
    <xf numFmtId="0" fontId="5" fillId="0" borderId="15" xfId="0" quotePrefix="1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0" borderId="14" xfId="0" quotePrefix="1" applyFont="1" applyFill="1" applyBorder="1" applyAlignment="1">
      <alignment horizontal="left" vertical="top" wrapText="1"/>
    </xf>
    <xf numFmtId="0" fontId="5" fillId="0" borderId="15" xfId="0" quotePrefix="1" applyFont="1" applyFill="1" applyBorder="1" applyAlignment="1">
      <alignment horizontal="left" vertical="top" wrapText="1"/>
    </xf>
    <xf numFmtId="0" fontId="5" fillId="0" borderId="1" xfId="0" quotePrefix="1" applyFont="1" applyBorder="1" applyAlignment="1">
      <alignment horizontal="center" vertical="top" wrapText="1"/>
    </xf>
    <xf numFmtId="0" fontId="5" fillId="0" borderId="2" xfId="0" quotePrefix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41" fontId="5" fillId="0" borderId="4" xfId="1" applyFont="1" applyBorder="1" applyAlignment="1">
      <alignment horizontal="center" vertical="center" wrapText="1"/>
    </xf>
    <xf numFmtId="41" fontId="5" fillId="0" borderId="5" xfId="1" applyFont="1" applyBorder="1" applyAlignment="1">
      <alignment horizontal="center" vertical="center" wrapText="1"/>
    </xf>
    <xf numFmtId="41" fontId="5" fillId="0" borderId="6" xfId="1" applyFont="1" applyBorder="1" applyAlignment="1">
      <alignment horizontal="center" vertical="center" wrapText="1"/>
    </xf>
    <xf numFmtId="41" fontId="5" fillId="0" borderId="23" xfId="1" applyFont="1" applyBorder="1" applyAlignment="1">
      <alignment horizontal="center" vertical="center" wrapText="1"/>
    </xf>
    <xf numFmtId="41" fontId="5" fillId="0" borderId="18" xfId="1" applyFont="1" applyBorder="1" applyAlignment="1">
      <alignment horizontal="center" vertical="center" wrapText="1"/>
    </xf>
    <xf numFmtId="41" fontId="5" fillId="0" borderId="14" xfId="1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workbookViewId="0">
      <selection activeCell="E11" sqref="E11"/>
    </sheetView>
  </sheetViews>
  <sheetFormatPr defaultRowHeight="16.5"/>
  <cols>
    <col min="1" max="4" width="9" style="265"/>
    <col min="5" max="5" width="77.375" style="265" customWidth="1"/>
  </cols>
  <sheetData>
    <row r="1" spans="1:5">
      <c r="A1" s="249"/>
      <c r="B1" s="250"/>
      <c r="C1" s="250"/>
      <c r="D1" s="250"/>
      <c r="E1" s="251"/>
    </row>
    <row r="2" spans="1:5">
      <c r="A2" s="252"/>
      <c r="B2" s="253"/>
      <c r="C2" s="253"/>
      <c r="D2" s="253"/>
      <c r="E2" s="254"/>
    </row>
    <row r="3" spans="1:5">
      <c r="A3" s="252"/>
      <c r="B3" s="253"/>
      <c r="C3" s="253"/>
      <c r="D3" s="253"/>
      <c r="E3" s="254"/>
    </row>
    <row r="4" spans="1:5">
      <c r="A4" s="252"/>
      <c r="B4" s="253"/>
      <c r="C4" s="253"/>
      <c r="D4" s="253"/>
      <c r="E4" s="254"/>
    </row>
    <row r="5" spans="1:5" ht="33.75">
      <c r="A5" s="370" t="s">
        <v>251</v>
      </c>
      <c r="B5" s="371"/>
      <c r="C5" s="371"/>
      <c r="D5" s="371"/>
      <c r="E5" s="372"/>
    </row>
    <row r="6" spans="1:5" ht="35.25">
      <c r="A6" s="373" t="s">
        <v>303</v>
      </c>
      <c r="B6" s="374"/>
      <c r="C6" s="374"/>
      <c r="D6" s="374"/>
      <c r="E6" s="375"/>
    </row>
    <row r="7" spans="1:5" ht="27">
      <c r="A7" s="255"/>
      <c r="B7" s="256"/>
      <c r="C7" s="256"/>
      <c r="D7" s="256"/>
      <c r="E7" s="257"/>
    </row>
    <row r="8" spans="1:5" ht="27">
      <c r="A8" s="376"/>
      <c r="B8" s="377"/>
      <c r="C8" s="377"/>
      <c r="D8" s="377"/>
      <c r="E8" s="378"/>
    </row>
    <row r="9" spans="1:5" ht="27">
      <c r="A9" s="255"/>
      <c r="B9" s="256"/>
      <c r="C9" s="256"/>
      <c r="D9" s="256"/>
      <c r="E9" s="257"/>
    </row>
    <row r="10" spans="1:5" ht="27">
      <c r="A10" s="255"/>
      <c r="B10" s="256"/>
      <c r="C10" s="256"/>
      <c r="D10" s="256"/>
      <c r="E10" s="257"/>
    </row>
    <row r="11" spans="1:5" ht="213.75" customHeight="1">
      <c r="A11" s="255"/>
      <c r="B11" s="256"/>
      <c r="C11" s="256"/>
      <c r="D11" s="256"/>
      <c r="E11" s="257"/>
    </row>
    <row r="12" spans="1:5" ht="213.75" customHeight="1">
      <c r="A12" s="258"/>
      <c r="B12" s="259"/>
      <c r="C12" s="259"/>
      <c r="D12" s="259"/>
      <c r="E12" s="260"/>
    </row>
    <row r="13" spans="1:5" ht="213.75" customHeight="1">
      <c r="A13" s="261"/>
      <c r="B13" s="253"/>
      <c r="C13" s="253"/>
      <c r="D13" s="253"/>
      <c r="E13" s="254"/>
    </row>
    <row r="14" spans="1:5">
      <c r="A14" s="261"/>
      <c r="B14" s="253"/>
      <c r="C14" s="253"/>
      <c r="D14" s="253"/>
      <c r="E14" s="254"/>
    </row>
    <row r="15" spans="1:5">
      <c r="A15" s="261"/>
      <c r="B15" s="253"/>
      <c r="C15" s="253"/>
      <c r="D15" s="253"/>
      <c r="E15" s="254"/>
    </row>
    <row r="16" spans="1:5">
      <c r="A16" s="261"/>
      <c r="B16" s="253"/>
      <c r="C16" s="253"/>
      <c r="D16" s="253"/>
      <c r="E16" s="254"/>
    </row>
    <row r="17" spans="1:5">
      <c r="A17" s="261"/>
      <c r="B17" s="253"/>
      <c r="C17" s="253"/>
      <c r="D17" s="253"/>
      <c r="E17" s="254"/>
    </row>
    <row r="18" spans="1:5">
      <c r="A18" s="261"/>
      <c r="B18" s="253"/>
      <c r="C18" s="253"/>
      <c r="D18" s="253"/>
      <c r="E18" s="254"/>
    </row>
    <row r="19" spans="1:5" ht="31.5">
      <c r="A19" s="379" t="s">
        <v>138</v>
      </c>
      <c r="B19" s="380"/>
      <c r="C19" s="380"/>
      <c r="D19" s="380"/>
      <c r="E19" s="381"/>
    </row>
    <row r="20" spans="1:5">
      <c r="A20" s="261"/>
      <c r="B20" s="253"/>
      <c r="C20" s="253"/>
      <c r="D20" s="253"/>
      <c r="E20" s="254"/>
    </row>
    <row r="21" spans="1:5">
      <c r="A21" s="261"/>
      <c r="B21" s="253"/>
      <c r="C21" s="253"/>
      <c r="D21" s="253"/>
      <c r="E21" s="254"/>
    </row>
    <row r="22" spans="1:5" ht="17.25" thickBot="1">
      <c r="A22" s="262"/>
      <c r="B22" s="263"/>
      <c r="C22" s="263"/>
      <c r="D22" s="263"/>
      <c r="E22" s="264"/>
    </row>
  </sheetData>
  <mergeCells count="4">
    <mergeCell ref="A5:E5"/>
    <mergeCell ref="A6:E6"/>
    <mergeCell ref="A8:E8"/>
    <mergeCell ref="A19:E19"/>
  </mergeCells>
  <phoneticPr fontId="6" type="noConversion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B5" sqref="B5"/>
    </sheetView>
  </sheetViews>
  <sheetFormatPr defaultRowHeight="17.25"/>
  <cols>
    <col min="1" max="1" width="4.25" style="266" customWidth="1"/>
    <col min="2" max="10" width="9" style="266"/>
    <col min="11" max="11" width="15.25" style="266" bestFit="1" customWidth="1"/>
    <col min="12" max="12" width="4.25" style="266" customWidth="1"/>
  </cols>
  <sheetData>
    <row r="1" spans="1:12" ht="18" thickBot="1"/>
    <row r="2" spans="1:12" ht="106.5" customHeight="1">
      <c r="A2" s="382" t="s">
        <v>139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4"/>
    </row>
    <row r="3" spans="1:12">
      <c r="A3" s="267"/>
      <c r="B3" s="268"/>
      <c r="C3" s="268"/>
      <c r="D3" s="268"/>
      <c r="E3" s="268"/>
      <c r="F3" s="268"/>
      <c r="G3" s="268"/>
      <c r="H3" s="268"/>
      <c r="I3" s="268"/>
      <c r="J3" s="269"/>
      <c r="K3" s="269"/>
      <c r="L3" s="270"/>
    </row>
    <row r="4" spans="1:12" ht="35.25" customHeight="1">
      <c r="A4" s="267"/>
      <c r="B4" s="268" t="s">
        <v>333</v>
      </c>
      <c r="C4" s="268"/>
      <c r="D4" s="268"/>
      <c r="E4" s="268"/>
      <c r="F4" s="268"/>
      <c r="G4" s="268"/>
      <c r="H4" s="268"/>
      <c r="I4" s="268"/>
      <c r="J4" s="268"/>
      <c r="K4" s="271"/>
      <c r="L4" s="272"/>
    </row>
    <row r="5" spans="1:12" ht="35.25" customHeight="1">
      <c r="A5" s="267"/>
      <c r="B5" s="268" t="s">
        <v>140</v>
      </c>
      <c r="C5" s="268"/>
      <c r="D5" s="268"/>
      <c r="E5" s="268"/>
      <c r="F5" s="268"/>
      <c r="G5" s="268"/>
      <c r="H5" s="268"/>
      <c r="I5" s="268"/>
      <c r="J5" s="268"/>
      <c r="K5" s="268"/>
      <c r="L5" s="272"/>
    </row>
    <row r="6" spans="1:12" ht="35.25" customHeight="1">
      <c r="A6" s="267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72"/>
    </row>
    <row r="7" spans="1:12" ht="35.25" customHeight="1">
      <c r="A7" s="267"/>
      <c r="B7" s="268" t="s">
        <v>141</v>
      </c>
      <c r="C7" s="268"/>
      <c r="D7" s="268"/>
      <c r="E7" s="268"/>
      <c r="F7" s="268"/>
      <c r="G7" s="268"/>
      <c r="H7" s="268"/>
      <c r="I7" s="268"/>
      <c r="J7" s="268"/>
      <c r="K7" s="268"/>
      <c r="L7" s="272"/>
    </row>
    <row r="8" spans="1:12" ht="35.25" customHeight="1">
      <c r="A8" s="267"/>
      <c r="B8" s="268" t="s">
        <v>142</v>
      </c>
      <c r="C8" s="268"/>
      <c r="D8" s="268"/>
      <c r="E8" s="268"/>
      <c r="F8" s="268"/>
      <c r="G8" s="268"/>
      <c r="H8" s="268"/>
      <c r="I8" s="268"/>
      <c r="J8" s="268"/>
      <c r="K8" s="268"/>
      <c r="L8" s="272"/>
    </row>
    <row r="9" spans="1:12" ht="35.25" customHeight="1">
      <c r="A9" s="267"/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72"/>
    </row>
    <row r="10" spans="1:12" ht="35.25" customHeight="1">
      <c r="A10" s="267"/>
      <c r="B10" s="268" t="s">
        <v>143</v>
      </c>
      <c r="C10" s="268"/>
      <c r="D10" s="268"/>
      <c r="E10" s="268"/>
      <c r="F10" s="268"/>
      <c r="G10" s="268"/>
      <c r="H10" s="268"/>
      <c r="I10" s="268"/>
      <c r="J10" s="268"/>
      <c r="K10" s="268"/>
      <c r="L10" s="272"/>
    </row>
    <row r="11" spans="1:12" ht="35.25" customHeight="1">
      <c r="A11" s="267"/>
      <c r="B11" s="268" t="s">
        <v>144</v>
      </c>
      <c r="C11" s="268"/>
      <c r="D11" s="268"/>
      <c r="E11" s="268"/>
      <c r="F11" s="268"/>
      <c r="G11" s="268"/>
      <c r="H11" s="268"/>
      <c r="I11" s="268"/>
      <c r="J11" s="268"/>
      <c r="K11" s="268"/>
      <c r="L11" s="272"/>
    </row>
    <row r="12" spans="1:12" ht="35.25" customHeight="1">
      <c r="A12" s="267"/>
      <c r="B12" s="268" t="s">
        <v>145</v>
      </c>
      <c r="C12" s="268"/>
      <c r="D12" s="268"/>
      <c r="E12" s="268"/>
      <c r="F12" s="268"/>
      <c r="G12" s="268"/>
      <c r="H12" s="268"/>
      <c r="I12" s="268"/>
      <c r="J12" s="268"/>
      <c r="K12" s="268"/>
      <c r="L12" s="272"/>
    </row>
    <row r="13" spans="1:12" ht="35.25" customHeight="1">
      <c r="A13" s="267"/>
      <c r="B13" s="268" t="s">
        <v>146</v>
      </c>
      <c r="C13" s="268"/>
      <c r="D13" s="268"/>
      <c r="E13" s="268"/>
      <c r="F13" s="268"/>
      <c r="G13" s="268"/>
      <c r="H13" s="268"/>
      <c r="I13" s="268"/>
      <c r="J13" s="268"/>
      <c r="K13" s="268"/>
      <c r="L13" s="272"/>
    </row>
    <row r="14" spans="1:12" ht="35.25" customHeight="1">
      <c r="A14" s="267"/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72"/>
    </row>
    <row r="15" spans="1:12" ht="35.25" customHeight="1">
      <c r="A15" s="267"/>
      <c r="B15" s="268" t="s">
        <v>147</v>
      </c>
      <c r="C15" s="268"/>
      <c r="D15" s="268"/>
      <c r="E15" s="268"/>
      <c r="F15" s="268"/>
      <c r="G15" s="268"/>
      <c r="H15" s="268"/>
      <c r="I15" s="268"/>
      <c r="J15" s="268"/>
      <c r="K15" s="268"/>
      <c r="L15" s="272"/>
    </row>
    <row r="16" spans="1:12" ht="35.25" customHeight="1">
      <c r="A16" s="267"/>
      <c r="B16" s="268" t="s">
        <v>148</v>
      </c>
      <c r="C16" s="268"/>
      <c r="D16" s="268"/>
      <c r="E16" s="268"/>
      <c r="F16" s="268"/>
      <c r="G16" s="268"/>
      <c r="H16" s="268"/>
      <c r="I16" s="268"/>
      <c r="J16" s="268"/>
      <c r="K16" s="268"/>
      <c r="L16" s="272"/>
    </row>
    <row r="17" spans="1:12" ht="35.25" customHeight="1">
      <c r="A17" s="267"/>
      <c r="B17" s="268" t="s">
        <v>149</v>
      </c>
      <c r="C17" s="268"/>
      <c r="D17" s="268"/>
      <c r="E17" s="268"/>
      <c r="F17" s="268"/>
      <c r="G17" s="268"/>
      <c r="H17" s="268"/>
      <c r="I17" s="268"/>
      <c r="J17" s="268"/>
      <c r="K17" s="268"/>
      <c r="L17" s="272"/>
    </row>
    <row r="18" spans="1:12" ht="35.25" customHeight="1">
      <c r="A18" s="267"/>
      <c r="B18" s="268" t="s">
        <v>150</v>
      </c>
      <c r="C18" s="268"/>
      <c r="D18" s="268"/>
      <c r="E18" s="268"/>
      <c r="F18" s="268"/>
      <c r="G18" s="268"/>
      <c r="H18" s="268"/>
      <c r="I18" s="268"/>
      <c r="J18" s="268"/>
      <c r="K18" s="268"/>
      <c r="L18" s="272"/>
    </row>
    <row r="19" spans="1:12" ht="35.25" customHeight="1">
      <c r="A19" s="267"/>
      <c r="B19" s="268" t="s">
        <v>151</v>
      </c>
      <c r="C19" s="268"/>
      <c r="D19" s="268"/>
      <c r="E19" s="268"/>
      <c r="F19" s="268"/>
      <c r="G19" s="268"/>
      <c r="H19" s="268"/>
      <c r="I19" s="268"/>
      <c r="J19" s="268"/>
      <c r="K19" s="268"/>
      <c r="L19" s="272"/>
    </row>
    <row r="20" spans="1:12" ht="35.25" customHeight="1" thickBot="1">
      <c r="A20" s="273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5"/>
    </row>
    <row r="21" spans="1:12" ht="35.25" customHeight="1">
      <c r="A21" s="385"/>
      <c r="B21" s="385"/>
      <c r="C21" s="385"/>
      <c r="D21" s="385"/>
      <c r="E21" s="385"/>
      <c r="F21" s="385"/>
      <c r="G21" s="385"/>
      <c r="H21" s="385"/>
      <c r="I21" s="385"/>
    </row>
    <row r="22" spans="1:12" ht="35.25" customHeight="1">
      <c r="A22" s="269"/>
      <c r="B22" s="269"/>
      <c r="C22" s="269"/>
      <c r="D22" s="269"/>
      <c r="E22" s="269"/>
      <c r="F22" s="269"/>
      <c r="G22" s="269"/>
      <c r="H22" s="269"/>
      <c r="I22" s="269"/>
    </row>
    <row r="23" spans="1:12" ht="35.25" customHeight="1">
      <c r="A23" s="269"/>
      <c r="B23" s="269"/>
      <c r="C23" s="269"/>
      <c r="D23" s="269"/>
      <c r="E23" s="269"/>
      <c r="F23" s="269"/>
      <c r="G23" s="269"/>
      <c r="H23" s="269"/>
      <c r="I23" s="269"/>
    </row>
    <row r="24" spans="1:12" ht="35.25" customHeight="1"/>
    <row r="25" spans="1:12" ht="35.25" customHeight="1"/>
    <row r="26" spans="1:12" ht="35.25" customHeight="1"/>
    <row r="27" spans="1:12" ht="35.25" customHeight="1"/>
    <row r="28" spans="1:12" ht="35.25" customHeight="1"/>
    <row r="29" spans="1:12" ht="35.25" customHeight="1"/>
  </sheetData>
  <mergeCells count="2">
    <mergeCell ref="A2:L2"/>
    <mergeCell ref="A21:I21"/>
  </mergeCells>
  <phoneticPr fontId="6" type="noConversion"/>
  <pageMargins left="0.7" right="0.7" top="0.75" bottom="0.75" header="0.3" footer="0.3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89"/>
  <sheetViews>
    <sheetView zoomScale="145" zoomScaleNormal="14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4" sqref="A4:J4"/>
    </sheetView>
  </sheetViews>
  <sheetFormatPr defaultRowHeight="16.5"/>
  <cols>
    <col min="1" max="1" width="1.5" customWidth="1"/>
    <col min="2" max="2" width="14.5" customWidth="1"/>
    <col min="3" max="3" width="11.125" style="1" customWidth="1"/>
    <col min="4" max="4" width="0" style="1" hidden="1" customWidth="1"/>
    <col min="5" max="5" width="11.75" style="3" customWidth="1"/>
    <col min="6" max="6" width="10.875" style="3" customWidth="1"/>
    <col min="7" max="7" width="25" style="25" customWidth="1"/>
    <col min="8" max="8" width="2.125" style="25" customWidth="1"/>
    <col min="9" max="9" width="15.875" style="25" bestFit="1" customWidth="1"/>
    <col min="10" max="10" width="3.125" customWidth="1"/>
    <col min="15" max="15" width="11.5" customWidth="1"/>
  </cols>
  <sheetData>
    <row r="1" spans="1:15" ht="33" customHeight="1">
      <c r="A1" s="391" t="s">
        <v>304</v>
      </c>
      <c r="B1" s="391"/>
      <c r="C1" s="391"/>
      <c r="D1" s="391"/>
      <c r="E1" s="391"/>
      <c r="F1" s="391"/>
      <c r="G1" s="391"/>
      <c r="H1" s="391"/>
      <c r="I1" s="391"/>
      <c r="J1" s="391"/>
      <c r="L1" s="386"/>
      <c r="M1" s="386"/>
      <c r="N1" s="386"/>
      <c r="O1" s="386"/>
    </row>
    <row r="2" spans="1:15" ht="19.5" customHeight="1">
      <c r="A2" s="392" t="s">
        <v>252</v>
      </c>
      <c r="B2" s="392"/>
      <c r="C2" s="392"/>
      <c r="D2" s="392"/>
      <c r="E2" s="392"/>
      <c r="F2" s="392"/>
      <c r="G2" s="392"/>
      <c r="H2" s="392"/>
      <c r="I2" s="392"/>
      <c r="J2" s="392"/>
    </row>
    <row r="3" spans="1:15" ht="18.75">
      <c r="A3" s="393" t="s">
        <v>0</v>
      </c>
      <c r="B3" s="393"/>
      <c r="C3" s="393"/>
      <c r="D3" s="393"/>
      <c r="E3" s="393"/>
      <c r="F3" s="393"/>
      <c r="G3" s="393"/>
      <c r="H3" s="393"/>
      <c r="I3" s="393"/>
      <c r="J3" s="393"/>
      <c r="L3" s="386"/>
      <c r="M3" s="386"/>
      <c r="N3" s="386"/>
      <c r="O3" s="386"/>
    </row>
    <row r="4" spans="1:15" ht="17.25" thickBot="1">
      <c r="A4" s="394" t="s">
        <v>337</v>
      </c>
      <c r="B4" s="394"/>
      <c r="C4" s="394"/>
      <c r="D4" s="394"/>
      <c r="E4" s="394"/>
      <c r="F4" s="394"/>
      <c r="G4" s="394"/>
      <c r="H4" s="394"/>
      <c r="I4" s="394"/>
      <c r="J4" s="394"/>
    </row>
    <row r="5" spans="1:15" ht="22.5">
      <c r="A5" s="395" t="s">
        <v>1</v>
      </c>
      <c r="B5" s="396"/>
      <c r="C5" s="31" t="s">
        <v>2</v>
      </c>
      <c r="D5" s="31" t="s">
        <v>4</v>
      </c>
      <c r="E5" s="31" t="s">
        <v>6</v>
      </c>
      <c r="F5" s="139" t="s">
        <v>8</v>
      </c>
      <c r="G5" s="403" t="s">
        <v>29</v>
      </c>
      <c r="H5" s="403"/>
      <c r="I5" s="404"/>
      <c r="J5" s="399" t="s">
        <v>10</v>
      </c>
    </row>
    <row r="6" spans="1:15" ht="17.25" thickBot="1">
      <c r="A6" s="397"/>
      <c r="B6" s="398"/>
      <c r="C6" s="26" t="s">
        <v>3</v>
      </c>
      <c r="D6" s="26" t="s">
        <v>5</v>
      </c>
      <c r="E6" s="26" t="s">
        <v>7</v>
      </c>
      <c r="F6" s="26" t="s">
        <v>9</v>
      </c>
      <c r="G6" s="405"/>
      <c r="H6" s="405"/>
      <c r="I6" s="406"/>
      <c r="J6" s="400"/>
    </row>
    <row r="7" spans="1:15">
      <c r="A7" s="387" t="s">
        <v>11</v>
      </c>
      <c r="B7" s="388"/>
      <c r="C7" s="148">
        <f>C9+C12+C18</f>
        <v>7407660</v>
      </c>
      <c r="D7" s="147">
        <v>0</v>
      </c>
      <c r="E7" s="148">
        <f>E9+E12+E16+E18</f>
        <v>6543068</v>
      </c>
      <c r="F7" s="148">
        <f>E7-C7</f>
        <v>-864592</v>
      </c>
      <c r="G7" s="150"/>
      <c r="H7" s="150"/>
      <c r="I7" s="151"/>
      <c r="J7" s="152"/>
    </row>
    <row r="8" spans="1:15">
      <c r="A8" s="153"/>
      <c r="B8" s="154"/>
      <c r="C8" s="234"/>
      <c r="D8" s="234"/>
      <c r="E8" s="234"/>
      <c r="F8" s="234"/>
      <c r="G8" s="145"/>
      <c r="H8" s="145"/>
      <c r="I8" s="145"/>
      <c r="J8" s="146"/>
    </row>
    <row r="9" spans="1:15">
      <c r="A9" s="58"/>
      <c r="B9" s="59" t="s">
        <v>57</v>
      </c>
      <c r="C9" s="68">
        <v>595000</v>
      </c>
      <c r="D9" s="140"/>
      <c r="E9" s="68">
        <f>I9</f>
        <v>595000</v>
      </c>
      <c r="F9" s="69">
        <f>E9-C9</f>
        <v>0</v>
      </c>
      <c r="G9" s="92" t="s">
        <v>56</v>
      </c>
      <c r="H9" s="93"/>
      <c r="I9" s="94">
        <f>SUM(I10:I11)</f>
        <v>595000</v>
      </c>
      <c r="J9" s="30"/>
    </row>
    <row r="10" spans="1:15">
      <c r="A10" s="60"/>
      <c r="B10" s="75"/>
      <c r="C10" s="237"/>
      <c r="D10" s="237"/>
      <c r="E10" s="237"/>
      <c r="F10" s="237"/>
      <c r="G10" s="307" t="s">
        <v>253</v>
      </c>
      <c r="H10" s="322" t="s">
        <v>34</v>
      </c>
      <c r="I10" s="323">
        <f>40000*10</f>
        <v>400000</v>
      </c>
      <c r="J10" s="32"/>
    </row>
    <row r="11" spans="1:15">
      <c r="A11" s="60"/>
      <c r="B11" s="61"/>
      <c r="C11" s="70"/>
      <c r="D11" s="141"/>
      <c r="E11" s="70"/>
      <c r="F11" s="71"/>
      <c r="G11" s="324" t="s">
        <v>225</v>
      </c>
      <c r="H11" s="325" t="s">
        <v>34</v>
      </c>
      <c r="I11" s="326">
        <f>15000*13</f>
        <v>195000</v>
      </c>
      <c r="J11" s="32"/>
    </row>
    <row r="12" spans="1:15">
      <c r="A12" s="60"/>
      <c r="B12" s="59" t="s">
        <v>58</v>
      </c>
      <c r="C12" s="68">
        <v>4421000</v>
      </c>
      <c r="D12" s="140"/>
      <c r="E12" s="68">
        <f>I12</f>
        <v>3954534</v>
      </c>
      <c r="F12" s="69">
        <f>E12-C12</f>
        <v>-466466</v>
      </c>
      <c r="G12" s="327" t="s">
        <v>246</v>
      </c>
      <c r="H12" s="328"/>
      <c r="I12" s="329">
        <f>SUM(I13:I14)</f>
        <v>3954534</v>
      </c>
      <c r="J12" s="30"/>
    </row>
    <row r="13" spans="1:15">
      <c r="A13" s="60"/>
      <c r="B13" s="61"/>
      <c r="C13" s="236"/>
      <c r="D13" s="236"/>
      <c r="E13" s="236"/>
      <c r="F13" s="236"/>
      <c r="G13" s="307" t="s">
        <v>334</v>
      </c>
      <c r="H13" s="322" t="s">
        <v>34</v>
      </c>
      <c r="I13" s="330">
        <f>25000*23+12500+40000*22+20000</f>
        <v>1487500</v>
      </c>
      <c r="J13" s="32"/>
    </row>
    <row r="14" spans="1:15">
      <c r="A14" s="60"/>
      <c r="B14" s="61"/>
      <c r="C14" s="70"/>
      <c r="D14" s="141"/>
      <c r="E14" s="70"/>
      <c r="F14" s="72"/>
      <c r="G14" s="324" t="s">
        <v>335</v>
      </c>
      <c r="H14" s="325" t="s">
        <v>34</v>
      </c>
      <c r="I14" s="326">
        <f>1292784+38*30500+15250</f>
        <v>2467034</v>
      </c>
      <c r="J14" s="74"/>
      <c r="K14" s="300"/>
      <c r="L14" s="300"/>
    </row>
    <row r="15" spans="1:15">
      <c r="A15" s="60"/>
      <c r="B15" s="61"/>
      <c r="C15" s="70"/>
      <c r="D15" s="141"/>
      <c r="E15" s="70"/>
      <c r="F15" s="72"/>
      <c r="G15" s="98" t="s">
        <v>61</v>
      </c>
      <c r="H15" s="99"/>
      <c r="I15" s="202">
        <v>0</v>
      </c>
      <c r="J15" s="30"/>
    </row>
    <row r="16" spans="1:15">
      <c r="A16" s="60"/>
      <c r="B16" s="59" t="s">
        <v>59</v>
      </c>
      <c r="C16" s="230">
        <v>0</v>
      </c>
      <c r="D16" s="230">
        <v>0</v>
      </c>
      <c r="E16" s="68">
        <f>I16</f>
        <v>0</v>
      </c>
      <c r="F16" s="69">
        <f>E16-C16</f>
        <v>0</v>
      </c>
      <c r="G16" s="98" t="s">
        <v>87</v>
      </c>
      <c r="H16" s="155"/>
      <c r="I16" s="202">
        <v>0</v>
      </c>
      <c r="J16" s="30"/>
    </row>
    <row r="17" spans="1:10">
      <c r="A17" s="60"/>
      <c r="B17" s="76"/>
      <c r="C17" s="237"/>
      <c r="D17" s="237"/>
      <c r="E17" s="237"/>
      <c r="F17" s="237"/>
      <c r="G17" s="156"/>
      <c r="H17" s="96"/>
      <c r="I17" s="97"/>
      <c r="J17" s="157"/>
    </row>
    <row r="18" spans="1:10">
      <c r="A18" s="60"/>
      <c r="B18" s="59" t="s">
        <v>60</v>
      </c>
      <c r="C18" s="68">
        <v>2391660</v>
      </c>
      <c r="D18" s="140"/>
      <c r="E18" s="68">
        <f>I18+I21+I27+I29+I25</f>
        <v>1993534</v>
      </c>
      <c r="F18" s="69">
        <f>E18-C18</f>
        <v>-398126</v>
      </c>
      <c r="G18" s="101" t="s">
        <v>82</v>
      </c>
      <c r="H18" s="102"/>
      <c r="I18" s="103">
        <f>SUM(I19:I20)</f>
        <v>1021650</v>
      </c>
      <c r="J18" s="56"/>
    </row>
    <row r="19" spans="1:10">
      <c r="A19" s="60"/>
      <c r="B19" s="62"/>
      <c r="C19" s="70"/>
      <c r="D19" s="351"/>
      <c r="E19" s="70"/>
      <c r="F19" s="71"/>
      <c r="G19" s="104" t="s">
        <v>305</v>
      </c>
      <c r="H19" s="95" t="s">
        <v>27</v>
      </c>
      <c r="I19" s="105">
        <f>50*9*147</f>
        <v>66150</v>
      </c>
      <c r="J19" s="57"/>
    </row>
    <row r="20" spans="1:10">
      <c r="A20" s="60"/>
      <c r="B20" s="62"/>
      <c r="C20" s="236"/>
      <c r="D20" s="236"/>
      <c r="E20" s="236"/>
      <c r="F20" s="236"/>
      <c r="G20" s="104" t="s">
        <v>306</v>
      </c>
      <c r="H20" s="95" t="s">
        <v>27</v>
      </c>
      <c r="I20" s="105">
        <f>100*65*147</f>
        <v>955500</v>
      </c>
      <c r="J20" s="57"/>
    </row>
    <row r="21" spans="1:10" s="120" customFormat="1">
      <c r="A21" s="119"/>
      <c r="B21" s="128"/>
      <c r="C21" s="129"/>
      <c r="D21" s="142"/>
      <c r="E21" s="129"/>
      <c r="F21" s="129"/>
      <c r="G21" s="101" t="s">
        <v>81</v>
      </c>
      <c r="H21" s="102"/>
      <c r="I21" s="103">
        <f>I22+I23+I24</f>
        <v>7224</v>
      </c>
      <c r="J21" s="131"/>
    </row>
    <row r="22" spans="1:10" s="120" customFormat="1">
      <c r="A22" s="119"/>
      <c r="B22" s="128"/>
      <c r="C22" s="129"/>
      <c r="D22" s="142"/>
      <c r="E22" s="129"/>
      <c r="F22" s="129"/>
      <c r="G22" s="336" t="s">
        <v>293</v>
      </c>
      <c r="H22" s="322" t="s">
        <v>27</v>
      </c>
      <c r="I22" s="337">
        <v>0</v>
      </c>
      <c r="J22" s="130"/>
    </row>
    <row r="23" spans="1:10" s="120" customFormat="1">
      <c r="A23" s="119"/>
      <c r="B23" s="128"/>
      <c r="C23" s="129"/>
      <c r="D23" s="142"/>
      <c r="E23" s="129"/>
      <c r="F23" s="129"/>
      <c r="G23" s="336" t="s">
        <v>323</v>
      </c>
      <c r="H23" s="322" t="s">
        <v>27</v>
      </c>
      <c r="I23" s="337">
        <f>301*24*1</f>
        <v>7224</v>
      </c>
      <c r="J23" s="130"/>
    </row>
    <row r="24" spans="1:10" s="120" customFormat="1">
      <c r="A24" s="119"/>
      <c r="B24" s="128"/>
      <c r="C24" s="129"/>
      <c r="D24" s="142"/>
      <c r="E24" s="129"/>
      <c r="F24" s="129"/>
      <c r="G24" s="104" t="s">
        <v>294</v>
      </c>
      <c r="H24" s="322" t="s">
        <v>27</v>
      </c>
      <c r="I24" s="105">
        <v>0</v>
      </c>
      <c r="J24" s="130"/>
    </row>
    <row r="25" spans="1:10" s="120" customFormat="1">
      <c r="A25" s="119"/>
      <c r="B25" s="128"/>
      <c r="C25" s="129"/>
      <c r="D25" s="142"/>
      <c r="E25" s="129"/>
      <c r="F25" s="129"/>
      <c r="G25" s="101" t="s">
        <v>202</v>
      </c>
      <c r="H25" s="102"/>
      <c r="I25" s="103">
        <f>SUM(I26:I26)</f>
        <v>192000</v>
      </c>
      <c r="J25" s="130"/>
    </row>
    <row r="26" spans="1:10" s="120" customFormat="1">
      <c r="A26" s="119"/>
      <c r="B26" s="128"/>
      <c r="C26" s="129"/>
      <c r="D26" s="142"/>
      <c r="E26" s="129"/>
      <c r="F26" s="129"/>
      <c r="G26" s="104" t="s">
        <v>239</v>
      </c>
      <c r="H26" s="95" t="s">
        <v>27</v>
      </c>
      <c r="I26" s="105">
        <f>9600*2*10</f>
        <v>192000</v>
      </c>
      <c r="J26" s="130"/>
    </row>
    <row r="27" spans="1:10">
      <c r="A27" s="60"/>
      <c r="B27" s="62"/>
      <c r="C27" s="70"/>
      <c r="D27" s="141"/>
      <c r="E27" s="70"/>
      <c r="F27" s="70"/>
      <c r="G27" s="101" t="s">
        <v>200</v>
      </c>
      <c r="H27" s="102"/>
      <c r="I27" s="103">
        <f>SUM(I28:I28)</f>
        <v>153600</v>
      </c>
      <c r="J27" s="131"/>
    </row>
    <row r="28" spans="1:10" s="300" customFormat="1">
      <c r="A28" s="352"/>
      <c r="B28" s="353"/>
      <c r="C28" s="354"/>
      <c r="D28" s="355"/>
      <c r="E28" s="354"/>
      <c r="F28" s="354"/>
      <c r="G28" s="336" t="s">
        <v>255</v>
      </c>
      <c r="H28" s="322" t="s">
        <v>27</v>
      </c>
      <c r="I28" s="337">
        <f>200*8*24*4</f>
        <v>153600</v>
      </c>
      <c r="J28" s="356"/>
    </row>
    <row r="29" spans="1:10">
      <c r="A29" s="60"/>
      <c r="B29" s="62"/>
      <c r="C29" s="70"/>
      <c r="D29" s="141"/>
      <c r="E29" s="70"/>
      <c r="F29" s="70"/>
      <c r="G29" s="101" t="s">
        <v>201</v>
      </c>
      <c r="H29" s="102"/>
      <c r="I29" s="103">
        <f>SUM(I30:I33)</f>
        <v>619060</v>
      </c>
      <c r="J29" s="56"/>
    </row>
    <row r="30" spans="1:10">
      <c r="A30" s="60"/>
      <c r="B30" s="62"/>
      <c r="C30" s="70"/>
      <c r="D30" s="141"/>
      <c r="E30" s="70"/>
      <c r="F30" s="70"/>
      <c r="G30" s="336" t="s">
        <v>254</v>
      </c>
      <c r="H30" s="322" t="s">
        <v>27</v>
      </c>
      <c r="I30" s="337">
        <f>140*20*182</f>
        <v>509600</v>
      </c>
      <c r="J30" s="57"/>
    </row>
    <row r="31" spans="1:10">
      <c r="A31" s="60"/>
      <c r="B31" s="62"/>
      <c r="C31" s="70"/>
      <c r="D31" s="141"/>
      <c r="E31" s="70"/>
      <c r="F31" s="70"/>
      <c r="G31" s="336" t="s">
        <v>295</v>
      </c>
      <c r="H31" s="322" t="s">
        <v>27</v>
      </c>
      <c r="I31" s="337">
        <f>20*24*182</f>
        <v>87360</v>
      </c>
      <c r="J31" s="57"/>
    </row>
    <row r="32" spans="1:10">
      <c r="A32" s="60"/>
      <c r="B32" s="62"/>
      <c r="C32" s="70"/>
      <c r="D32" s="141"/>
      <c r="E32" s="70"/>
      <c r="F32" s="70"/>
      <c r="G32" s="336" t="s">
        <v>257</v>
      </c>
      <c r="H32" s="322" t="s">
        <v>27</v>
      </c>
      <c r="I32" s="337">
        <f>1700*3</f>
        <v>5100</v>
      </c>
      <c r="J32" s="57"/>
    </row>
    <row r="33" spans="1:10" ht="17.25" thickBot="1">
      <c r="A33" s="60"/>
      <c r="B33" s="62"/>
      <c r="C33" s="70"/>
      <c r="D33" s="141"/>
      <c r="E33" s="70"/>
      <c r="F33" s="70"/>
      <c r="G33" s="336" t="s">
        <v>256</v>
      </c>
      <c r="H33" s="325" t="s">
        <v>27</v>
      </c>
      <c r="I33" s="337">
        <f>1700*10</f>
        <v>17000</v>
      </c>
      <c r="J33" s="57"/>
    </row>
    <row r="34" spans="1:10">
      <c r="A34" s="401" t="s">
        <v>13</v>
      </c>
      <c r="B34" s="402"/>
      <c r="C34" s="148">
        <f>SUM(C36:C53)</f>
        <v>10777112</v>
      </c>
      <c r="D34" s="147">
        <v>0</v>
      </c>
      <c r="E34" s="148">
        <f>SUM(E36,E38,E40,E45,E47,E43,E49)</f>
        <v>11251898</v>
      </c>
      <c r="F34" s="148">
        <f>F36+F38+F40+F43+F45+F47+F49</f>
        <v>474786</v>
      </c>
      <c r="G34" s="149"/>
      <c r="H34" s="150"/>
      <c r="I34" s="151"/>
      <c r="J34" s="152"/>
    </row>
    <row r="35" spans="1:10">
      <c r="A35" s="153"/>
      <c r="B35" s="154"/>
      <c r="C35" s="234"/>
      <c r="D35" s="234"/>
      <c r="E35" s="234"/>
      <c r="F35" s="234"/>
      <c r="G35" s="27"/>
      <c r="H35" s="28"/>
      <c r="I35" s="29"/>
      <c r="J35" s="33"/>
    </row>
    <row r="36" spans="1:10" ht="22.5">
      <c r="A36" s="58"/>
      <c r="B36" s="59" t="s">
        <v>62</v>
      </c>
      <c r="C36" s="68">
        <v>5722556</v>
      </c>
      <c r="D36" s="140"/>
      <c r="E36" s="68">
        <f>I36</f>
        <v>5722556</v>
      </c>
      <c r="F36" s="69">
        <f>E36-C36</f>
        <v>0</v>
      </c>
      <c r="G36" s="101" t="s">
        <v>113</v>
      </c>
      <c r="H36" s="102"/>
      <c r="I36" s="103">
        <f>SUM(I37)</f>
        <v>5722556</v>
      </c>
      <c r="J36" s="30"/>
    </row>
    <row r="37" spans="1:10">
      <c r="A37" s="60"/>
      <c r="B37" s="76"/>
      <c r="C37" s="236"/>
      <c r="D37" s="236"/>
      <c r="E37" s="236"/>
      <c r="F37" s="236"/>
      <c r="G37" s="104" t="s">
        <v>258</v>
      </c>
      <c r="H37" s="95" t="s">
        <v>27</v>
      </c>
      <c r="I37" s="105">
        <f>204377*28</f>
        <v>5722556</v>
      </c>
      <c r="J37" s="32"/>
    </row>
    <row r="38" spans="1:10">
      <c r="A38" s="60"/>
      <c r="B38" s="59" t="s">
        <v>63</v>
      </c>
      <c r="C38" s="68">
        <v>4214644</v>
      </c>
      <c r="D38" s="140"/>
      <c r="E38" s="68">
        <f>I38</f>
        <v>4214644</v>
      </c>
      <c r="F38" s="69">
        <f>E38-C38</f>
        <v>0</v>
      </c>
      <c r="G38" s="101" t="s">
        <v>89</v>
      </c>
      <c r="H38" s="102"/>
      <c r="I38" s="103">
        <f>SUM(I39)</f>
        <v>4214644</v>
      </c>
      <c r="J38" s="30"/>
    </row>
    <row r="39" spans="1:10">
      <c r="A39" s="60"/>
      <c r="B39" s="76"/>
      <c r="C39" s="236"/>
      <c r="D39" s="236"/>
      <c r="E39" s="236"/>
      <c r="F39" s="236"/>
      <c r="G39" s="104" t="s">
        <v>259</v>
      </c>
      <c r="H39" s="95" t="s">
        <v>27</v>
      </c>
      <c r="I39" s="105">
        <f>150523*28</f>
        <v>4214644</v>
      </c>
      <c r="J39" s="32"/>
    </row>
    <row r="40" spans="1:10">
      <c r="A40" s="60"/>
      <c r="B40" s="59" t="s">
        <v>64</v>
      </c>
      <c r="C40" s="68">
        <v>46312</v>
      </c>
      <c r="D40" s="140"/>
      <c r="E40" s="68">
        <f>I40</f>
        <v>46312</v>
      </c>
      <c r="F40" s="69">
        <f>E40-C40</f>
        <v>0</v>
      </c>
      <c r="G40" s="101" t="s">
        <v>88</v>
      </c>
      <c r="H40" s="102"/>
      <c r="I40" s="103">
        <f>SUM(I41:I42)</f>
        <v>46312</v>
      </c>
      <c r="J40" s="30"/>
    </row>
    <row r="41" spans="1:10">
      <c r="A41" s="60"/>
      <c r="B41" s="75"/>
      <c r="C41" s="237"/>
      <c r="D41" s="237"/>
      <c r="E41" s="237"/>
      <c r="F41" s="237"/>
      <c r="G41" s="104" t="s">
        <v>260</v>
      </c>
      <c r="H41" s="95" t="s">
        <v>27</v>
      </c>
      <c r="I41" s="105">
        <f>1654*28</f>
        <v>46312</v>
      </c>
      <c r="J41" s="32"/>
    </row>
    <row r="42" spans="1:10">
      <c r="A42" s="60"/>
      <c r="B42" s="75"/>
      <c r="C42" s="237"/>
      <c r="D42" s="237"/>
      <c r="E42" s="237"/>
      <c r="F42" s="237"/>
      <c r="G42" s="104"/>
      <c r="H42" s="95" t="s">
        <v>27</v>
      </c>
      <c r="I42" s="105"/>
      <c r="J42" s="32"/>
    </row>
    <row r="43" spans="1:10" s="120" customFormat="1" ht="16.5" customHeight="1">
      <c r="A43" s="119"/>
      <c r="B43" s="162" t="s">
        <v>65</v>
      </c>
      <c r="C43" s="293">
        <v>150000</v>
      </c>
      <c r="D43" s="230">
        <v>0</v>
      </c>
      <c r="E43" s="68">
        <f>I43</f>
        <v>150000</v>
      </c>
      <c r="F43" s="69">
        <f>E43-C43</f>
        <v>0</v>
      </c>
      <c r="G43" s="101" t="s">
        <v>102</v>
      </c>
      <c r="H43" s="155"/>
      <c r="I43" s="299">
        <f>I44</f>
        <v>150000</v>
      </c>
      <c r="J43" s="159"/>
    </row>
    <row r="44" spans="1:10" s="120" customFormat="1" ht="16.5" customHeight="1">
      <c r="A44" s="119"/>
      <c r="B44" s="163"/>
      <c r="C44" s="237"/>
      <c r="D44" s="237"/>
      <c r="E44" s="237"/>
      <c r="F44" s="237"/>
      <c r="G44" s="104" t="s">
        <v>338</v>
      </c>
      <c r="H44" s="96"/>
      <c r="I44" s="97">
        <v>150000</v>
      </c>
      <c r="J44" s="164"/>
    </row>
    <row r="45" spans="1:10" s="120" customFormat="1" ht="16.5" customHeight="1">
      <c r="A45" s="119"/>
      <c r="B45" s="165" t="s">
        <v>66</v>
      </c>
      <c r="C45" s="293">
        <v>150000</v>
      </c>
      <c r="D45" s="230">
        <v>0</v>
      </c>
      <c r="E45" s="68">
        <f>I45</f>
        <v>150000</v>
      </c>
      <c r="F45" s="69">
        <f>E45-C45</f>
        <v>0</v>
      </c>
      <c r="G45" s="158" t="s">
        <v>103</v>
      </c>
      <c r="H45" s="102"/>
      <c r="I45" s="103">
        <f>SUM(I46)</f>
        <v>150000</v>
      </c>
      <c r="J45" s="159"/>
    </row>
    <row r="46" spans="1:10" s="120" customFormat="1" ht="16.5" customHeight="1">
      <c r="A46" s="119"/>
      <c r="B46" s="166"/>
      <c r="C46" s="237"/>
      <c r="D46" s="237"/>
      <c r="E46" s="237"/>
      <c r="F46" s="237"/>
      <c r="G46" s="104" t="s">
        <v>240</v>
      </c>
      <c r="H46" s="95" t="s">
        <v>159</v>
      </c>
      <c r="I46" s="105">
        <v>150000</v>
      </c>
      <c r="J46" s="164"/>
    </row>
    <row r="47" spans="1:10" s="120" customFormat="1" ht="16.5" customHeight="1">
      <c r="A47" s="119"/>
      <c r="B47" s="165" t="s">
        <v>67</v>
      </c>
      <c r="C47" s="230">
        <v>0</v>
      </c>
      <c r="D47" s="230"/>
      <c r="E47" s="68">
        <f>I47</f>
        <v>432000</v>
      </c>
      <c r="F47" s="69">
        <f>E47-C47</f>
        <v>432000</v>
      </c>
      <c r="G47" s="158" t="s">
        <v>104</v>
      </c>
      <c r="H47" s="155"/>
      <c r="I47" s="299">
        <f>I48</f>
        <v>432000</v>
      </c>
      <c r="J47" s="159"/>
    </row>
    <row r="48" spans="1:10" s="120" customFormat="1" ht="16.5" customHeight="1">
      <c r="A48" s="119"/>
      <c r="B48" s="166"/>
      <c r="C48" s="237"/>
      <c r="D48" s="237"/>
      <c r="E48" s="237"/>
      <c r="F48" s="237"/>
      <c r="G48" s="104" t="s">
        <v>309</v>
      </c>
      <c r="H48" s="95" t="s">
        <v>27</v>
      </c>
      <c r="I48" s="97">
        <v>432000</v>
      </c>
      <c r="J48" s="164"/>
    </row>
    <row r="49" spans="1:10" s="120" customFormat="1" ht="16.5" customHeight="1">
      <c r="A49" s="119"/>
      <c r="B49" s="313" t="s">
        <v>114</v>
      </c>
      <c r="C49" s="296">
        <v>493600</v>
      </c>
      <c r="D49" s="316">
        <v>0</v>
      </c>
      <c r="E49" s="317">
        <f>I49</f>
        <v>536386</v>
      </c>
      <c r="F49" s="69">
        <f>E49-C49</f>
        <v>42786</v>
      </c>
      <c r="G49" s="158" t="s">
        <v>105</v>
      </c>
      <c r="H49" s="102"/>
      <c r="I49" s="103">
        <f>SUM(I50:I53)</f>
        <v>536386</v>
      </c>
      <c r="J49" s="159"/>
    </row>
    <row r="50" spans="1:10" s="120" customFormat="1" ht="16.5" customHeight="1">
      <c r="A50" s="119"/>
      <c r="B50" s="160"/>
      <c r="C50" s="314"/>
      <c r="D50" s="315"/>
      <c r="E50" s="70"/>
      <c r="F50" s="71"/>
      <c r="G50" s="104" t="s">
        <v>241</v>
      </c>
      <c r="H50" s="95" t="s">
        <v>27</v>
      </c>
      <c r="I50" s="105">
        <v>153600</v>
      </c>
      <c r="J50" s="161"/>
    </row>
    <row r="51" spans="1:10" s="120" customFormat="1" ht="16.5" customHeight="1">
      <c r="A51" s="119"/>
      <c r="B51" s="160"/>
      <c r="C51" s="362"/>
      <c r="D51" s="363"/>
      <c r="E51" s="366"/>
      <c r="F51" s="71"/>
      <c r="G51" s="104" t="s">
        <v>307</v>
      </c>
      <c r="H51" s="95" t="s">
        <v>27</v>
      </c>
      <c r="I51" s="105">
        <v>48695</v>
      </c>
      <c r="J51" s="161"/>
    </row>
    <row r="52" spans="1:10" s="120" customFormat="1" ht="16.5" customHeight="1">
      <c r="A52" s="119"/>
      <c r="B52" s="160"/>
      <c r="C52" s="362"/>
      <c r="D52" s="363"/>
      <c r="E52" s="366"/>
      <c r="F52" s="71"/>
      <c r="G52" s="104" t="s">
        <v>308</v>
      </c>
      <c r="H52" s="95" t="s">
        <v>27</v>
      </c>
      <c r="I52" s="105">
        <v>63406</v>
      </c>
      <c r="J52" s="161"/>
    </row>
    <row r="53" spans="1:10" s="120" customFormat="1" ht="16.5" customHeight="1" thickBot="1">
      <c r="A53" s="119"/>
      <c r="B53" s="160"/>
      <c r="C53" s="237"/>
      <c r="D53" s="364"/>
      <c r="E53" s="367"/>
      <c r="F53" s="365"/>
      <c r="G53" s="104" t="s">
        <v>242</v>
      </c>
      <c r="H53" s="95" t="s">
        <v>157</v>
      </c>
      <c r="I53" s="105">
        <v>270685</v>
      </c>
      <c r="J53" s="161"/>
    </row>
    <row r="54" spans="1:10">
      <c r="A54" s="387" t="s">
        <v>15</v>
      </c>
      <c r="B54" s="388"/>
      <c r="C54" s="148">
        <f>SUM(C56+C60)</f>
        <v>11500</v>
      </c>
      <c r="D54" s="147">
        <v>0</v>
      </c>
      <c r="E54" s="148">
        <f>E56+E60</f>
        <v>11500</v>
      </c>
      <c r="F54" s="148">
        <f>SUM(F56,F60)</f>
        <v>0</v>
      </c>
      <c r="G54" s="149"/>
      <c r="H54" s="150"/>
      <c r="I54" s="151"/>
      <c r="J54" s="152"/>
    </row>
    <row r="55" spans="1:10">
      <c r="A55" s="153"/>
      <c r="B55" s="154"/>
      <c r="C55" s="238"/>
      <c r="D55" s="238"/>
      <c r="E55" s="238"/>
      <c r="F55" s="238"/>
      <c r="G55" s="27"/>
      <c r="H55" s="28"/>
      <c r="I55" s="29"/>
      <c r="J55" s="169"/>
    </row>
    <row r="56" spans="1:10">
      <c r="A56" s="58"/>
      <c r="B56" s="64" t="s">
        <v>74</v>
      </c>
      <c r="C56" s="68">
        <v>5500</v>
      </c>
      <c r="D56" s="140"/>
      <c r="E56" s="68">
        <f>I56+I58</f>
        <v>5500</v>
      </c>
      <c r="F56" s="69">
        <f>E56-C56</f>
        <v>0</v>
      </c>
      <c r="G56" s="276" t="s">
        <v>152</v>
      </c>
      <c r="H56" s="102"/>
      <c r="I56" s="103">
        <f>SUM(I57)</f>
        <v>3500</v>
      </c>
      <c r="J56" s="56"/>
    </row>
    <row r="57" spans="1:10">
      <c r="A57" s="60"/>
      <c r="B57" s="62"/>
      <c r="C57" s="237"/>
      <c r="D57" s="237"/>
      <c r="E57" s="237"/>
      <c r="F57" s="237"/>
      <c r="G57" s="144" t="s">
        <v>243</v>
      </c>
      <c r="H57" s="95" t="s">
        <v>27</v>
      </c>
      <c r="I57" s="105">
        <v>3500</v>
      </c>
      <c r="J57" s="57"/>
    </row>
    <row r="58" spans="1:10">
      <c r="A58" s="60"/>
      <c r="B58" s="62"/>
      <c r="C58" s="237"/>
      <c r="D58" s="237"/>
      <c r="E58" s="237"/>
      <c r="F58" s="237"/>
      <c r="G58" s="101" t="s">
        <v>84</v>
      </c>
      <c r="H58" s="102"/>
      <c r="I58" s="103">
        <f>SUM(I59)</f>
        <v>2000</v>
      </c>
      <c r="J58" s="56"/>
    </row>
    <row r="59" spans="1:10">
      <c r="A59" s="60"/>
      <c r="B59" s="62"/>
      <c r="C59" s="70"/>
      <c r="D59" s="141"/>
      <c r="E59" s="70"/>
      <c r="F59" s="70"/>
      <c r="G59" s="104" t="s">
        <v>244</v>
      </c>
      <c r="H59" s="95" t="s">
        <v>27</v>
      </c>
      <c r="I59" s="105">
        <f>100*3+1700</f>
        <v>2000</v>
      </c>
      <c r="J59" s="57"/>
    </row>
    <row r="60" spans="1:10">
      <c r="A60" s="60"/>
      <c r="B60" s="64" t="s">
        <v>75</v>
      </c>
      <c r="C60" s="68">
        <v>6000</v>
      </c>
      <c r="D60" s="140"/>
      <c r="E60" s="68">
        <f>I60+I62+I63</f>
        <v>6000</v>
      </c>
      <c r="F60" s="69">
        <f>E60-C60</f>
        <v>0</v>
      </c>
      <c r="G60" s="101" t="s">
        <v>83</v>
      </c>
      <c r="H60" s="102"/>
      <c r="I60" s="103">
        <f>SUM(I61)</f>
        <v>6000</v>
      </c>
      <c r="J60" s="56"/>
    </row>
    <row r="61" spans="1:10">
      <c r="A61" s="60"/>
      <c r="B61" s="62"/>
      <c r="C61" s="237"/>
      <c r="D61" s="237"/>
      <c r="E61" s="237"/>
      <c r="F61" s="237"/>
      <c r="G61" s="104" t="s">
        <v>245</v>
      </c>
      <c r="H61" s="95" t="s">
        <v>27</v>
      </c>
      <c r="I61" s="105">
        <f>3000*2</f>
        <v>6000</v>
      </c>
      <c r="J61" s="57"/>
    </row>
    <row r="62" spans="1:10">
      <c r="A62" s="60"/>
      <c r="B62" s="62"/>
      <c r="C62" s="70"/>
      <c r="D62" s="141"/>
      <c r="E62" s="70"/>
      <c r="F62" s="70"/>
      <c r="G62" s="101" t="s">
        <v>177</v>
      </c>
      <c r="H62" s="102"/>
      <c r="I62" s="202">
        <v>0</v>
      </c>
      <c r="J62" s="56"/>
    </row>
    <row r="63" spans="1:10">
      <c r="A63" s="60"/>
      <c r="B63" s="62"/>
      <c r="C63" s="70"/>
      <c r="D63" s="141"/>
      <c r="E63" s="70"/>
      <c r="F63" s="70"/>
      <c r="G63" s="292" t="s">
        <v>85</v>
      </c>
      <c r="H63" s="311"/>
      <c r="I63" s="299">
        <f>SUM(I64:I64)</f>
        <v>0</v>
      </c>
      <c r="J63" s="56"/>
    </row>
    <row r="64" spans="1:10" ht="17.25" thickBot="1">
      <c r="A64" s="63"/>
      <c r="B64" s="167"/>
      <c r="C64" s="73"/>
      <c r="D64" s="143"/>
      <c r="E64" s="73"/>
      <c r="F64" s="73"/>
      <c r="G64" s="104"/>
      <c r="H64" s="95" t="s">
        <v>27</v>
      </c>
      <c r="I64" s="304"/>
      <c r="J64" s="168"/>
    </row>
    <row r="65" spans="1:10">
      <c r="A65" s="387" t="s">
        <v>16</v>
      </c>
      <c r="B65" s="388"/>
      <c r="C65" s="305">
        <f>SUM(C67:C72)</f>
        <v>0</v>
      </c>
      <c r="D65" s="232">
        <v>0</v>
      </c>
      <c r="E65" s="305">
        <f>E67+E69+E71</f>
        <v>0</v>
      </c>
      <c r="F65" s="305">
        <v>0</v>
      </c>
      <c r="G65" s="149"/>
      <c r="H65" s="150"/>
      <c r="I65" s="151"/>
      <c r="J65" s="152"/>
    </row>
    <row r="66" spans="1:10">
      <c r="A66" s="153"/>
      <c r="B66" s="154"/>
      <c r="C66" s="238"/>
      <c r="D66" s="238"/>
      <c r="E66" s="238"/>
      <c r="F66" s="238"/>
      <c r="G66" s="27"/>
      <c r="H66" s="28"/>
      <c r="I66" s="29"/>
      <c r="J66" s="33"/>
    </row>
    <row r="67" spans="1:10" ht="16.5" customHeight="1">
      <c r="A67" s="60"/>
      <c r="B67" s="231" t="s">
        <v>68</v>
      </c>
      <c r="C67" s="293">
        <v>0</v>
      </c>
      <c r="D67" s="230">
        <v>0</v>
      </c>
      <c r="E67" s="68">
        <f>I67</f>
        <v>0</v>
      </c>
      <c r="F67" s="69">
        <f>E67-C67</f>
        <v>0</v>
      </c>
      <c r="G67" s="170" t="s">
        <v>96</v>
      </c>
      <c r="H67" s="95"/>
      <c r="I67" s="299">
        <f>I68</f>
        <v>0</v>
      </c>
      <c r="J67" s="32"/>
    </row>
    <row r="68" spans="1:10" ht="16.5" customHeight="1">
      <c r="A68" s="60"/>
      <c r="B68" s="171"/>
      <c r="C68" s="237"/>
      <c r="D68" s="237"/>
      <c r="E68" s="237"/>
      <c r="F68" s="237"/>
      <c r="G68" s="104"/>
      <c r="H68" s="96"/>
      <c r="I68" s="97">
        <v>0</v>
      </c>
      <c r="J68" s="74"/>
    </row>
    <row r="69" spans="1:10">
      <c r="A69" s="60"/>
      <c r="B69" s="59" t="s">
        <v>69</v>
      </c>
      <c r="C69" s="230">
        <v>0</v>
      </c>
      <c r="D69" s="230">
        <v>0</v>
      </c>
      <c r="E69" s="68">
        <f>I69</f>
        <v>0</v>
      </c>
      <c r="F69" s="69">
        <f>E69-C69</f>
        <v>0</v>
      </c>
      <c r="G69" s="101" t="s">
        <v>97</v>
      </c>
      <c r="H69" s="155"/>
      <c r="I69" s="202">
        <v>0</v>
      </c>
      <c r="J69" s="30"/>
    </row>
    <row r="70" spans="1:10">
      <c r="A70" s="60"/>
      <c r="B70" s="76"/>
      <c r="C70" s="237"/>
      <c r="D70" s="237"/>
      <c r="E70" s="237"/>
      <c r="F70" s="237"/>
      <c r="G70" s="126"/>
      <c r="H70" s="96"/>
      <c r="I70" s="97"/>
      <c r="J70" s="74"/>
    </row>
    <row r="71" spans="1:10">
      <c r="A71" s="60"/>
      <c r="B71" s="62" t="s">
        <v>70</v>
      </c>
      <c r="C71" s="230">
        <v>0</v>
      </c>
      <c r="D71" s="230">
        <v>0</v>
      </c>
      <c r="E71" s="68">
        <f>I71</f>
        <v>0</v>
      </c>
      <c r="F71" s="69">
        <f>E71-C71</f>
        <v>0</v>
      </c>
      <c r="G71" s="170" t="s">
        <v>98</v>
      </c>
      <c r="H71" s="95"/>
      <c r="I71" s="202">
        <v>0</v>
      </c>
      <c r="J71" s="32"/>
    </row>
    <row r="72" spans="1:10" ht="17.25" thickBot="1">
      <c r="A72" s="60"/>
      <c r="B72" s="62"/>
      <c r="C72" s="237"/>
      <c r="D72" s="237"/>
      <c r="E72" s="237"/>
      <c r="F72" s="237"/>
      <c r="G72" s="170"/>
      <c r="H72" s="95"/>
      <c r="I72" s="105"/>
      <c r="J72" s="32"/>
    </row>
    <row r="73" spans="1:10">
      <c r="A73" s="387" t="s">
        <v>17</v>
      </c>
      <c r="B73" s="388"/>
      <c r="C73" s="148">
        <f>SUM(C75:C85)</f>
        <v>2000000</v>
      </c>
      <c r="D73" s="147">
        <v>0</v>
      </c>
      <c r="E73" s="148">
        <f>E75+E77+E82+E84</f>
        <v>2358431</v>
      </c>
      <c r="F73" s="148">
        <f>SUM(F75,F77,F82,F84)</f>
        <v>358431</v>
      </c>
      <c r="G73" s="149"/>
      <c r="H73" s="150"/>
      <c r="I73" s="151"/>
      <c r="J73" s="152"/>
    </row>
    <row r="74" spans="1:10">
      <c r="A74" s="153"/>
      <c r="B74" s="154"/>
      <c r="C74" s="234"/>
      <c r="D74" s="234"/>
      <c r="E74" s="234"/>
      <c r="F74" s="234"/>
      <c r="G74" s="27"/>
      <c r="H74" s="28"/>
      <c r="I74" s="29"/>
      <c r="J74" s="33"/>
    </row>
    <row r="75" spans="1:10">
      <c r="A75" s="58"/>
      <c r="B75" s="59" t="s">
        <v>71</v>
      </c>
      <c r="C75" s="230">
        <v>0</v>
      </c>
      <c r="D75" s="230">
        <v>0</v>
      </c>
      <c r="E75" s="68">
        <f>I75</f>
        <v>0</v>
      </c>
      <c r="F75" s="69">
        <f>E75-C75</f>
        <v>0</v>
      </c>
      <c r="G75" s="101" t="s">
        <v>153</v>
      </c>
      <c r="H75" s="155"/>
      <c r="I75" s="202">
        <v>0</v>
      </c>
      <c r="J75" s="30"/>
    </row>
    <row r="76" spans="1:10">
      <c r="A76" s="60"/>
      <c r="B76" s="62"/>
      <c r="C76" s="237"/>
      <c r="D76" s="237"/>
      <c r="E76" s="237"/>
      <c r="F76" s="237"/>
      <c r="G76" s="172"/>
      <c r="H76" s="95"/>
      <c r="I76" s="105"/>
      <c r="J76" s="57"/>
    </row>
    <row r="77" spans="1:10">
      <c r="A77" s="60"/>
      <c r="B77" s="64" t="s">
        <v>72</v>
      </c>
      <c r="C77" s="68">
        <v>2000000</v>
      </c>
      <c r="D77" s="140"/>
      <c r="E77" s="68">
        <v>2358431</v>
      </c>
      <c r="F77" s="69">
        <f>E77-C77</f>
        <v>358431</v>
      </c>
      <c r="G77" s="101" t="s">
        <v>86</v>
      </c>
      <c r="H77" s="102"/>
      <c r="I77" s="299">
        <f>I78</f>
        <v>2358431</v>
      </c>
      <c r="J77" s="56"/>
    </row>
    <row r="78" spans="1:10">
      <c r="A78" s="60"/>
      <c r="B78" s="62"/>
      <c r="C78" s="70"/>
      <c r="D78" s="141"/>
      <c r="E78" s="70"/>
      <c r="F78" s="312"/>
      <c r="G78" s="357" t="s">
        <v>261</v>
      </c>
      <c r="H78" s="359" t="s">
        <v>27</v>
      </c>
      <c r="I78" s="358">
        <v>2358431</v>
      </c>
      <c r="J78" s="56"/>
    </row>
    <row r="79" spans="1:10">
      <c r="A79" s="60"/>
      <c r="B79" s="62"/>
      <c r="C79" s="301"/>
      <c r="D79" s="302"/>
      <c r="E79" s="301"/>
      <c r="F79" s="70"/>
      <c r="G79" s="170" t="s">
        <v>137</v>
      </c>
      <c r="H79" s="335"/>
      <c r="I79" s="132">
        <v>0</v>
      </c>
      <c r="J79" s="56"/>
    </row>
    <row r="80" spans="1:10">
      <c r="A80" s="60"/>
      <c r="B80" s="62"/>
      <c r="C80" s="70"/>
      <c r="D80" s="141"/>
      <c r="E80" s="70"/>
      <c r="F80" s="70"/>
      <c r="G80" s="292" t="s">
        <v>194</v>
      </c>
      <c r="H80" s="311"/>
      <c r="I80" s="346"/>
      <c r="J80" s="347"/>
    </row>
    <row r="81" spans="1:10">
      <c r="A81" s="60"/>
      <c r="B81" s="62"/>
      <c r="C81" s="70"/>
      <c r="D81" s="141"/>
      <c r="E81" s="70"/>
      <c r="F81" s="312"/>
      <c r="G81" s="104"/>
      <c r="H81" s="335"/>
      <c r="I81" s="348"/>
      <c r="J81" s="57"/>
    </row>
    <row r="82" spans="1:10">
      <c r="A82" s="60"/>
      <c r="B82" s="59" t="s">
        <v>52</v>
      </c>
      <c r="C82" s="230">
        <v>0</v>
      </c>
      <c r="D82" s="230">
        <v>0</v>
      </c>
      <c r="E82" s="68">
        <f>I82</f>
        <v>0</v>
      </c>
      <c r="F82" s="69">
        <f>E82-C82</f>
        <v>0</v>
      </c>
      <c r="G82" s="101" t="s">
        <v>100</v>
      </c>
      <c r="H82" s="155"/>
      <c r="I82" s="202">
        <v>0</v>
      </c>
      <c r="J82" s="30"/>
    </row>
    <row r="83" spans="1:10">
      <c r="A83" s="60"/>
      <c r="B83" s="62"/>
      <c r="C83" s="237"/>
      <c r="D83" s="237"/>
      <c r="E83" s="237"/>
      <c r="F83" s="237"/>
      <c r="G83" s="170"/>
      <c r="H83" s="95"/>
      <c r="I83" s="105"/>
      <c r="J83" s="32"/>
    </row>
    <row r="84" spans="1:10">
      <c r="A84" s="60"/>
      <c r="B84" s="64" t="s">
        <v>73</v>
      </c>
      <c r="C84" s="230">
        <v>0</v>
      </c>
      <c r="D84" s="230">
        <v>0</v>
      </c>
      <c r="E84" s="68">
        <f>I84</f>
        <v>0</v>
      </c>
      <c r="F84" s="69">
        <f>E84-C84</f>
        <v>0</v>
      </c>
      <c r="G84" s="173" t="s">
        <v>101</v>
      </c>
      <c r="H84" s="174"/>
      <c r="I84" s="202">
        <v>0</v>
      </c>
      <c r="J84" s="30"/>
    </row>
    <row r="85" spans="1:10" ht="17.25" thickBot="1">
      <c r="A85" s="60"/>
      <c r="B85" s="62"/>
      <c r="C85" s="237"/>
      <c r="D85" s="237"/>
      <c r="E85" s="237"/>
      <c r="F85" s="237"/>
      <c r="G85" s="176"/>
      <c r="H85" s="175"/>
      <c r="I85" s="177"/>
      <c r="J85" s="32"/>
    </row>
    <row r="86" spans="1:10">
      <c r="A86" s="389" t="s">
        <v>18</v>
      </c>
      <c r="B86" s="390"/>
      <c r="C86" s="179">
        <f>C73+C65+C54+C34+C7</f>
        <v>20196272</v>
      </c>
      <c r="D86" s="178">
        <v>0</v>
      </c>
      <c r="E86" s="350">
        <f>SUM(E73,E65,E54,E34,E7)</f>
        <v>20164897</v>
      </c>
      <c r="F86" s="289">
        <f>E86-C86</f>
        <v>-31375</v>
      </c>
      <c r="G86" s="184"/>
      <c r="H86" s="185"/>
      <c r="I86" s="183"/>
      <c r="J86" s="180"/>
    </row>
    <row r="87" spans="1:10" ht="17.25" thickBot="1">
      <c r="A87" s="182"/>
      <c r="B87" s="181"/>
      <c r="C87" s="239"/>
      <c r="D87" s="239"/>
      <c r="E87" s="239"/>
      <c r="F87" s="239"/>
      <c r="G87" s="34"/>
      <c r="H87" s="35"/>
      <c r="I87" s="36"/>
      <c r="J87" s="37"/>
    </row>
    <row r="88" spans="1:10">
      <c r="A88" s="65" t="s">
        <v>19</v>
      </c>
      <c r="B88" s="66"/>
      <c r="C88" s="87"/>
      <c r="D88" s="67"/>
      <c r="E88" s="67"/>
      <c r="F88" s="67"/>
    </row>
    <row r="89" spans="1:10">
      <c r="E89" s="1"/>
      <c r="F89" s="1"/>
    </row>
  </sheetData>
  <mergeCells count="15">
    <mergeCell ref="L1:O1"/>
    <mergeCell ref="L3:O3"/>
    <mergeCell ref="A73:B73"/>
    <mergeCell ref="A86:B86"/>
    <mergeCell ref="A1:J1"/>
    <mergeCell ref="A2:J2"/>
    <mergeCell ref="A3:J3"/>
    <mergeCell ref="A4:J4"/>
    <mergeCell ref="A5:B6"/>
    <mergeCell ref="J5:J6"/>
    <mergeCell ref="A7:B7"/>
    <mergeCell ref="A34:B34"/>
    <mergeCell ref="A54:B54"/>
    <mergeCell ref="A65:B65"/>
    <mergeCell ref="G5:I6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&amp;N페이지 중 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20"/>
  <sheetViews>
    <sheetView tabSelected="1" zoomScale="145" zoomScaleNormal="145" workbookViewId="0">
      <pane xSplit="1" ySplit="4" topLeftCell="B184" activePane="bottomRight" state="frozen"/>
      <selection pane="topRight" activeCell="B1" sqref="B1"/>
      <selection pane="bottomLeft" activeCell="A5" sqref="A5"/>
      <selection pane="bottomRight" activeCell="G188" sqref="G188"/>
    </sheetView>
  </sheetViews>
  <sheetFormatPr defaultRowHeight="16.5"/>
  <cols>
    <col min="1" max="1" width="1.75" style="14" customWidth="1"/>
    <col min="2" max="2" width="10.625" style="14" customWidth="1"/>
    <col min="3" max="3" width="14.875" style="7" bestFit="1" customWidth="1"/>
    <col min="4" max="4" width="0" style="7" hidden="1" customWidth="1"/>
    <col min="5" max="5" width="15.5" style="7" bestFit="1" customWidth="1"/>
    <col min="6" max="6" width="10.25" style="67" customWidth="1"/>
    <col min="7" max="7" width="40.375" style="9" customWidth="1"/>
    <col min="8" max="8" width="2.125" style="3" customWidth="1"/>
    <col min="9" max="9" width="10.375" style="12" customWidth="1"/>
    <col min="10" max="10" width="5.75" style="2" customWidth="1"/>
    <col min="11" max="11" width="9" style="2"/>
    <col min="12" max="12" width="9.625" style="2" bestFit="1" customWidth="1"/>
    <col min="13" max="13" width="10.875" style="2" bestFit="1" customWidth="1"/>
    <col min="14" max="16384" width="9" style="2"/>
  </cols>
  <sheetData>
    <row r="1" spans="1:11" ht="18.75">
      <c r="A1" s="393" t="s">
        <v>20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1" ht="17.25" thickBot="1">
      <c r="A2" s="394" t="s">
        <v>337</v>
      </c>
      <c r="B2" s="394"/>
      <c r="C2" s="394"/>
      <c r="D2" s="394"/>
      <c r="E2" s="394"/>
      <c r="F2" s="394"/>
      <c r="G2" s="394"/>
      <c r="H2" s="394"/>
      <c r="I2" s="394"/>
      <c r="J2" s="394"/>
    </row>
    <row r="3" spans="1:11" ht="22.5">
      <c r="A3" s="410" t="s">
        <v>1</v>
      </c>
      <c r="B3" s="423"/>
      <c r="C3" s="4" t="s">
        <v>2</v>
      </c>
      <c r="D3" s="4" t="s">
        <v>4</v>
      </c>
      <c r="E3" s="4" t="s">
        <v>6</v>
      </c>
      <c r="F3" s="78" t="s">
        <v>8</v>
      </c>
      <c r="G3" s="428" t="s">
        <v>29</v>
      </c>
      <c r="H3" s="429"/>
      <c r="I3" s="430"/>
      <c r="J3" s="426" t="s">
        <v>28</v>
      </c>
      <c r="K3" s="3"/>
    </row>
    <row r="4" spans="1:11" ht="17.25" thickBot="1">
      <c r="A4" s="424"/>
      <c r="B4" s="425"/>
      <c r="C4" s="89" t="s">
        <v>3</v>
      </c>
      <c r="D4" s="89" t="s">
        <v>5</v>
      </c>
      <c r="E4" s="89" t="s">
        <v>7</v>
      </c>
      <c r="F4" s="90" t="s">
        <v>9</v>
      </c>
      <c r="G4" s="431"/>
      <c r="H4" s="432"/>
      <c r="I4" s="433"/>
      <c r="J4" s="427"/>
    </row>
    <row r="5" spans="1:11">
      <c r="A5" s="416" t="s">
        <v>21</v>
      </c>
      <c r="B5" s="417"/>
      <c r="C5" s="192">
        <f>SUM(C7,C24,C49)</f>
        <v>12666260</v>
      </c>
      <c r="D5" s="192">
        <v>0</v>
      </c>
      <c r="E5" s="192">
        <f>SUM(E7,E24,E49)</f>
        <v>12628460</v>
      </c>
      <c r="F5" s="193">
        <f>E5-C5</f>
        <v>-37800</v>
      </c>
      <c r="G5" s="194"/>
      <c r="H5" s="195"/>
      <c r="I5" s="196"/>
      <c r="J5" s="197"/>
    </row>
    <row r="6" spans="1:11">
      <c r="A6" s="186"/>
      <c r="B6" s="187"/>
      <c r="C6" s="238"/>
      <c r="D6" s="238"/>
      <c r="E6" s="238"/>
      <c r="F6" s="238"/>
      <c r="G6" s="188"/>
      <c r="H6" s="189"/>
      <c r="I6" s="190"/>
      <c r="J6" s="191"/>
    </row>
    <row r="7" spans="1:11" ht="16.5" customHeight="1">
      <c r="A7" s="20"/>
      <c r="B7" s="55" t="s">
        <v>79</v>
      </c>
      <c r="C7" s="5">
        <v>5804200</v>
      </c>
      <c r="D7" s="5"/>
      <c r="E7" s="5">
        <f>SUM(I7,I10,I19,I21)</f>
        <v>5804200</v>
      </c>
      <c r="F7" s="79">
        <f>E7-C7</f>
        <v>0</v>
      </c>
      <c r="G7" s="98" t="s">
        <v>41</v>
      </c>
      <c r="H7" s="99"/>
      <c r="I7" s="100">
        <f>SUM(I8:I9)</f>
        <v>3361200</v>
      </c>
      <c r="J7" s="40"/>
    </row>
    <row r="8" spans="1:11" ht="16.5" customHeight="1">
      <c r="A8" s="22"/>
      <c r="B8" s="291"/>
      <c r="C8" s="237"/>
      <c r="D8" s="237"/>
      <c r="E8" s="237"/>
      <c r="F8" s="237"/>
      <c r="G8" s="45" t="s">
        <v>249</v>
      </c>
      <c r="H8" s="278" t="s">
        <v>27</v>
      </c>
      <c r="I8" s="47">
        <f>45000*4*12</f>
        <v>2160000</v>
      </c>
      <c r="J8" s="41"/>
    </row>
    <row r="9" spans="1:11">
      <c r="A9" s="21"/>
      <c r="B9" s="13"/>
      <c r="C9" s="237"/>
      <c r="D9" s="237"/>
      <c r="E9" s="237"/>
      <c r="F9" s="237"/>
      <c r="G9" s="45" t="s">
        <v>310</v>
      </c>
      <c r="H9" s="278" t="s">
        <v>27</v>
      </c>
      <c r="I9" s="47">
        <f>500*3*4.4*182</f>
        <v>1201200.0000000002</v>
      </c>
      <c r="J9" s="41"/>
    </row>
    <row r="10" spans="1:11">
      <c r="A10" s="21"/>
      <c r="B10" s="13"/>
      <c r="C10" s="6"/>
      <c r="D10" s="6"/>
      <c r="E10" s="6"/>
      <c r="F10" s="80"/>
      <c r="G10" s="98" t="s">
        <v>54</v>
      </c>
      <c r="H10" s="99"/>
      <c r="I10" s="100">
        <f>SUM(I11:I18)</f>
        <v>2069000</v>
      </c>
      <c r="J10" s="40"/>
    </row>
    <row r="11" spans="1:11">
      <c r="A11" s="21"/>
      <c r="B11" s="13"/>
      <c r="C11" s="6"/>
      <c r="D11" s="6"/>
      <c r="E11" s="6"/>
      <c r="F11" s="80"/>
      <c r="G11" s="45" t="s">
        <v>210</v>
      </c>
      <c r="H11" s="278" t="s">
        <v>27</v>
      </c>
      <c r="I11" s="47">
        <f>4000*4*12</f>
        <v>192000</v>
      </c>
      <c r="J11" s="41"/>
    </row>
    <row r="12" spans="1:11">
      <c r="A12" s="21"/>
      <c r="B12" s="13"/>
      <c r="C12" s="6"/>
      <c r="D12" s="6"/>
      <c r="E12" s="6"/>
      <c r="F12" s="80"/>
      <c r="G12" s="45" t="s">
        <v>250</v>
      </c>
      <c r="H12" s="278" t="s">
        <v>27</v>
      </c>
      <c r="I12" s="47">
        <f>4000*1*12</f>
        <v>48000</v>
      </c>
      <c r="J12" s="41"/>
    </row>
    <row r="13" spans="1:11">
      <c r="A13" s="21"/>
      <c r="B13" s="13"/>
      <c r="C13" s="6"/>
      <c r="D13" s="6"/>
      <c r="E13" s="6"/>
      <c r="F13" s="80"/>
      <c r="G13" s="307" t="s">
        <v>211</v>
      </c>
      <c r="H13" s="320" t="s">
        <v>27</v>
      </c>
      <c r="I13" s="308">
        <f>7000*4*12</f>
        <v>336000</v>
      </c>
      <c r="J13" s="41"/>
    </row>
    <row r="14" spans="1:11">
      <c r="A14" s="21"/>
      <c r="B14" s="13"/>
      <c r="C14" s="6"/>
      <c r="D14" s="6"/>
      <c r="E14" s="6"/>
      <c r="F14" s="80"/>
      <c r="G14" s="307" t="s">
        <v>262</v>
      </c>
      <c r="H14" s="320" t="s">
        <v>27</v>
      </c>
      <c r="I14" s="308">
        <f>19000*4*12</f>
        <v>912000</v>
      </c>
      <c r="J14" s="41"/>
    </row>
    <row r="15" spans="1:11">
      <c r="A15" s="21"/>
      <c r="B15" s="13"/>
      <c r="C15" s="6"/>
      <c r="D15" s="6"/>
      <c r="E15" s="6"/>
      <c r="F15" s="80"/>
      <c r="G15" s="307" t="s">
        <v>263</v>
      </c>
      <c r="H15" s="320" t="s">
        <v>218</v>
      </c>
      <c r="I15" s="308">
        <f>2000*2*12</f>
        <v>48000</v>
      </c>
      <c r="J15" s="41"/>
    </row>
    <row r="16" spans="1:11">
      <c r="A16" s="21"/>
      <c r="B16" s="13"/>
      <c r="C16" s="6"/>
      <c r="D16" s="6"/>
      <c r="E16" s="6"/>
      <c r="F16" s="80"/>
      <c r="G16" s="83" t="s">
        <v>212</v>
      </c>
      <c r="H16" s="84" t="s">
        <v>108</v>
      </c>
      <c r="I16" s="85">
        <f>7000*4*12</f>
        <v>336000</v>
      </c>
      <c r="J16" s="86"/>
    </row>
    <row r="17" spans="1:13">
      <c r="A17" s="21"/>
      <c r="B17" s="13"/>
      <c r="C17" s="6"/>
      <c r="D17" s="6"/>
      <c r="E17" s="6"/>
      <c r="F17" s="80"/>
      <c r="G17" s="45" t="s">
        <v>213</v>
      </c>
      <c r="H17" s="278" t="s">
        <v>27</v>
      </c>
      <c r="I17" s="47">
        <f>4000*4*12</f>
        <v>192000</v>
      </c>
      <c r="J17" s="41"/>
    </row>
    <row r="18" spans="1:13">
      <c r="A18" s="21"/>
      <c r="B18" s="13"/>
      <c r="C18" s="6"/>
      <c r="D18" s="6"/>
      <c r="E18" s="6"/>
      <c r="F18" s="80"/>
      <c r="G18" s="49" t="s">
        <v>341</v>
      </c>
      <c r="H18" s="281" t="s">
        <v>34</v>
      </c>
      <c r="I18" s="51">
        <v>5000</v>
      </c>
      <c r="J18" s="42"/>
    </row>
    <row r="19" spans="1:13">
      <c r="A19" s="21"/>
      <c r="B19" s="13"/>
      <c r="C19" s="6"/>
      <c r="D19" s="6"/>
      <c r="E19" s="6"/>
      <c r="F19" s="80"/>
      <c r="G19" s="98" t="s">
        <v>55</v>
      </c>
      <c r="H19" s="99"/>
      <c r="I19" s="100">
        <f>SUM(I20)</f>
        <v>216000</v>
      </c>
      <c r="J19" s="40"/>
    </row>
    <row r="20" spans="1:13">
      <c r="A20" s="21"/>
      <c r="B20" s="13"/>
      <c r="C20" s="6"/>
      <c r="D20" s="6"/>
      <c r="E20" s="6"/>
      <c r="F20" s="80"/>
      <c r="G20" s="49" t="s">
        <v>205</v>
      </c>
      <c r="H20" s="281" t="s">
        <v>34</v>
      </c>
      <c r="I20" s="51">
        <f>45000*4*2*0.6</f>
        <v>216000</v>
      </c>
      <c r="J20" s="42"/>
    </row>
    <row r="21" spans="1:13">
      <c r="A21" s="21"/>
      <c r="B21" s="13"/>
      <c r="C21" s="6"/>
      <c r="D21" s="6"/>
      <c r="E21" s="6"/>
      <c r="F21" s="80"/>
      <c r="G21" s="98" t="s">
        <v>76</v>
      </c>
      <c r="H21" s="99"/>
      <c r="I21" s="100">
        <f>SUM(I22:I23)</f>
        <v>158000</v>
      </c>
      <c r="J21" s="53"/>
    </row>
    <row r="22" spans="1:13">
      <c r="A22" s="21"/>
      <c r="B22" s="13"/>
      <c r="C22" s="6"/>
      <c r="D22" s="6"/>
      <c r="E22" s="6"/>
      <c r="F22" s="80"/>
      <c r="G22" s="45" t="s">
        <v>214</v>
      </c>
      <c r="H22" s="278" t="s">
        <v>215</v>
      </c>
      <c r="I22" s="47">
        <f>17000*4</f>
        <v>68000</v>
      </c>
      <c r="J22" s="48"/>
    </row>
    <row r="23" spans="1:13">
      <c r="A23" s="21"/>
      <c r="B23" s="13"/>
      <c r="C23" s="6"/>
      <c r="D23" s="6"/>
      <c r="E23" s="6"/>
      <c r="F23" s="80"/>
      <c r="G23" s="49" t="s">
        <v>264</v>
      </c>
      <c r="H23" s="281" t="s">
        <v>215</v>
      </c>
      <c r="I23" s="51">
        <v>90000</v>
      </c>
      <c r="J23" s="52"/>
    </row>
    <row r="24" spans="1:13" ht="16.5" customHeight="1">
      <c r="A24" s="22"/>
      <c r="B24" s="407" t="s">
        <v>78</v>
      </c>
      <c r="C24" s="5">
        <v>6382060</v>
      </c>
      <c r="D24" s="5"/>
      <c r="E24" s="5">
        <f>SUM(I24,I37,I44,I46)</f>
        <v>6344260</v>
      </c>
      <c r="F24" s="79">
        <f>E24-C24</f>
        <v>-37800</v>
      </c>
      <c r="G24" s="98" t="s">
        <v>41</v>
      </c>
      <c r="H24" s="99"/>
      <c r="I24" s="100">
        <f>SUM(I25:I36)</f>
        <v>5399660</v>
      </c>
      <c r="J24" s="40"/>
    </row>
    <row r="25" spans="1:13" s="11" customFormat="1">
      <c r="A25" s="277"/>
      <c r="B25" s="408"/>
      <c r="C25" s="279"/>
      <c r="D25" s="279"/>
      <c r="E25" s="279"/>
      <c r="F25" s="279"/>
      <c r="G25" s="45" t="s">
        <v>178</v>
      </c>
      <c r="H25" s="278" t="s">
        <v>27</v>
      </c>
      <c r="I25" s="47">
        <f>45000*12</f>
        <v>540000</v>
      </c>
      <c r="J25" s="48"/>
    </row>
    <row r="26" spans="1:13" s="11" customFormat="1">
      <c r="A26" s="277"/>
      <c r="B26" s="306"/>
      <c r="C26" s="279"/>
      <c r="D26" s="279"/>
      <c r="E26" s="279"/>
      <c r="F26" s="279"/>
      <c r="G26" s="45" t="s">
        <v>265</v>
      </c>
      <c r="H26" s="278" t="s">
        <v>27</v>
      </c>
      <c r="I26" s="47">
        <f>34000*12</f>
        <v>408000</v>
      </c>
      <c r="J26" s="48"/>
    </row>
    <row r="27" spans="1:13" s="11" customFormat="1">
      <c r="A27" s="277"/>
      <c r="B27" s="280"/>
      <c r="C27" s="112"/>
      <c r="D27" s="112"/>
      <c r="E27" s="112"/>
      <c r="F27" s="113"/>
      <c r="G27" s="307" t="s">
        <v>238</v>
      </c>
      <c r="H27" s="320" t="s">
        <v>27</v>
      </c>
      <c r="I27" s="308">
        <f>230*8*182</f>
        <v>334880</v>
      </c>
      <c r="J27" s="48"/>
    </row>
    <row r="28" spans="1:13" s="11" customFormat="1">
      <c r="A28" s="277"/>
      <c r="B28" s="280"/>
      <c r="C28" s="112"/>
      <c r="D28" s="112"/>
      <c r="E28" s="112"/>
      <c r="F28" s="113"/>
      <c r="G28" s="307" t="s">
        <v>268</v>
      </c>
      <c r="H28" s="320" t="s">
        <v>27</v>
      </c>
      <c r="I28" s="308">
        <f>180*1*6*182</f>
        <v>196560</v>
      </c>
      <c r="J28" s="48"/>
    </row>
    <row r="29" spans="1:13" s="11" customFormat="1">
      <c r="A29" s="277"/>
      <c r="B29" s="280"/>
      <c r="C29" s="112"/>
      <c r="D29" s="112"/>
      <c r="E29" s="112"/>
      <c r="F29" s="113"/>
      <c r="G29" s="307" t="s">
        <v>248</v>
      </c>
      <c r="H29" s="320" t="s">
        <v>215</v>
      </c>
      <c r="I29" s="308">
        <f>500*1*6*182</f>
        <v>546000</v>
      </c>
      <c r="J29" s="48"/>
    </row>
    <row r="30" spans="1:13" s="11" customFormat="1" ht="23.25" customHeight="1">
      <c r="A30" s="277"/>
      <c r="B30" s="280"/>
      <c r="C30" s="112"/>
      <c r="D30" s="112"/>
      <c r="E30" s="112"/>
      <c r="F30" s="113"/>
      <c r="G30" s="342" t="s">
        <v>302</v>
      </c>
      <c r="H30" s="278" t="s">
        <v>216</v>
      </c>
      <c r="I30" s="47">
        <f>660*1*6*180+660*2*4*180</f>
        <v>1663200</v>
      </c>
      <c r="J30" s="48"/>
    </row>
    <row r="31" spans="1:13" s="11" customFormat="1" ht="37.5" customHeight="1">
      <c r="A31" s="277"/>
      <c r="B31" s="280"/>
      <c r="C31" s="112"/>
      <c r="D31" s="112"/>
      <c r="E31" s="112"/>
      <c r="F31" s="113"/>
      <c r="G31" s="342" t="s">
        <v>301</v>
      </c>
      <c r="H31" s="278" t="s">
        <v>215</v>
      </c>
      <c r="I31" s="47">
        <f>610*6*2*143+550*2*143</f>
        <v>1204060</v>
      </c>
      <c r="J31" s="48"/>
      <c r="M31" s="349"/>
    </row>
    <row r="32" spans="1:13" s="11" customFormat="1">
      <c r="A32" s="277"/>
      <c r="B32" s="280"/>
      <c r="C32" s="112"/>
      <c r="D32" s="112"/>
      <c r="E32" s="112"/>
      <c r="F32" s="113"/>
      <c r="G32" s="307" t="s">
        <v>217</v>
      </c>
      <c r="H32" s="321" t="s">
        <v>27</v>
      </c>
      <c r="I32" s="308">
        <f>2000*2*10</f>
        <v>40000</v>
      </c>
      <c r="J32" s="48"/>
    </row>
    <row r="33" spans="1:10" s="11" customFormat="1" ht="39.75" customHeight="1">
      <c r="A33" s="277"/>
      <c r="B33" s="280"/>
      <c r="C33" s="112"/>
      <c r="D33" s="112"/>
      <c r="E33" s="112"/>
      <c r="F33" s="113"/>
      <c r="G33" s="340" t="s">
        <v>313</v>
      </c>
      <c r="H33" s="321" t="s">
        <v>27</v>
      </c>
      <c r="I33" s="308">
        <f>180*147*6</f>
        <v>158760</v>
      </c>
      <c r="J33" s="48"/>
    </row>
    <row r="34" spans="1:10" s="11" customFormat="1" ht="22.5">
      <c r="A34" s="277"/>
      <c r="B34" s="280"/>
      <c r="C34" s="112"/>
      <c r="D34" s="112"/>
      <c r="E34" s="112"/>
      <c r="F34" s="113"/>
      <c r="G34" s="340" t="s">
        <v>271</v>
      </c>
      <c r="H34" s="321" t="s">
        <v>27</v>
      </c>
      <c r="I34" s="308">
        <f>335*52*5+435*52*5</f>
        <v>200200</v>
      </c>
      <c r="J34" s="48"/>
    </row>
    <row r="35" spans="1:10" s="11" customFormat="1">
      <c r="A35" s="277"/>
      <c r="B35" s="280"/>
      <c r="C35" s="112"/>
      <c r="D35" s="112"/>
      <c r="E35" s="112"/>
      <c r="F35" s="113"/>
      <c r="G35" s="340" t="s">
        <v>223</v>
      </c>
      <c r="H35" s="321" t="s">
        <v>215</v>
      </c>
      <c r="I35" s="308">
        <f>900*3*40</f>
        <v>108000</v>
      </c>
      <c r="J35" s="48"/>
    </row>
    <row r="36" spans="1:10" s="11" customFormat="1">
      <c r="A36" s="277"/>
      <c r="B36" s="111"/>
      <c r="C36" s="112"/>
      <c r="D36" s="112"/>
      <c r="E36" s="112"/>
      <c r="F36" s="113"/>
      <c r="G36" s="45"/>
      <c r="H36" s="278"/>
      <c r="I36" s="47"/>
      <c r="J36" s="48"/>
    </row>
    <row r="37" spans="1:10" s="11" customFormat="1">
      <c r="A37" s="277"/>
      <c r="B37" s="111"/>
      <c r="C37" s="112"/>
      <c r="D37" s="112"/>
      <c r="E37" s="112"/>
      <c r="F37" s="113"/>
      <c r="G37" s="98" t="s">
        <v>54</v>
      </c>
      <c r="H37" s="99"/>
      <c r="I37" s="100">
        <f>SUM(I38:I43)</f>
        <v>581000</v>
      </c>
      <c r="J37" s="53"/>
    </row>
    <row r="38" spans="1:10" s="11" customFormat="1">
      <c r="A38" s="277"/>
      <c r="B38" s="111"/>
      <c r="C38" s="112"/>
      <c r="D38" s="112"/>
      <c r="E38" s="112"/>
      <c r="F38" s="113"/>
      <c r="G38" s="45" t="s">
        <v>195</v>
      </c>
      <c r="H38" s="278" t="s">
        <v>27</v>
      </c>
      <c r="I38" s="47">
        <f>4000*12</f>
        <v>48000</v>
      </c>
      <c r="J38" s="48"/>
    </row>
    <row r="39" spans="1:10" s="11" customFormat="1">
      <c r="A39" s="277"/>
      <c r="B39" s="111"/>
      <c r="C39" s="112"/>
      <c r="D39" s="112"/>
      <c r="E39" s="112"/>
      <c r="F39" s="113"/>
      <c r="G39" s="307" t="s">
        <v>266</v>
      </c>
      <c r="H39" s="320" t="s">
        <v>27</v>
      </c>
      <c r="I39" s="308">
        <f>9000*12</f>
        <v>108000</v>
      </c>
      <c r="J39" s="48"/>
    </row>
    <row r="40" spans="1:10" s="11" customFormat="1">
      <c r="A40" s="277"/>
      <c r="B40" s="111"/>
      <c r="C40" s="112"/>
      <c r="D40" s="112"/>
      <c r="E40" s="112"/>
      <c r="F40" s="113"/>
      <c r="G40" s="307" t="s">
        <v>196</v>
      </c>
      <c r="H40" s="320" t="s">
        <v>27</v>
      </c>
      <c r="I40" s="308">
        <f>7000*2*12</f>
        <v>168000</v>
      </c>
      <c r="J40" s="48"/>
    </row>
    <row r="41" spans="1:10" s="11" customFormat="1">
      <c r="A41" s="277"/>
      <c r="B41" s="111"/>
      <c r="C41" s="112"/>
      <c r="D41" s="112"/>
      <c r="E41" s="112"/>
      <c r="F41" s="113"/>
      <c r="G41" s="307" t="s">
        <v>219</v>
      </c>
      <c r="H41" s="320" t="s">
        <v>27</v>
      </c>
      <c r="I41" s="308">
        <f>2000*1*12</f>
        <v>24000</v>
      </c>
      <c r="J41" s="48"/>
    </row>
    <row r="42" spans="1:10" s="11" customFormat="1" ht="17.25" customHeight="1">
      <c r="A42" s="277"/>
      <c r="B42" s="111"/>
      <c r="C42" s="112"/>
      <c r="D42" s="112"/>
      <c r="E42" s="112"/>
      <c r="F42" s="113"/>
      <c r="G42" s="307" t="s">
        <v>267</v>
      </c>
      <c r="H42" s="320" t="s">
        <v>27</v>
      </c>
      <c r="I42" s="308">
        <f>19000*12</f>
        <v>228000</v>
      </c>
      <c r="J42" s="48"/>
    </row>
    <row r="43" spans="1:10" s="11" customFormat="1">
      <c r="A43" s="277"/>
      <c r="B43" s="111"/>
      <c r="C43" s="112"/>
      <c r="D43" s="112"/>
      <c r="E43" s="112"/>
      <c r="F43" s="113"/>
      <c r="G43" s="49" t="s">
        <v>339</v>
      </c>
      <c r="H43" s="281" t="s">
        <v>27</v>
      </c>
      <c r="I43" s="51">
        <v>5000</v>
      </c>
      <c r="J43" s="48"/>
    </row>
    <row r="44" spans="1:10" s="11" customFormat="1">
      <c r="A44" s="277"/>
      <c r="B44" s="111"/>
      <c r="C44" s="112"/>
      <c r="D44" s="112"/>
      <c r="E44" s="112"/>
      <c r="F44" s="113"/>
      <c r="G44" s="98" t="s">
        <v>55</v>
      </c>
      <c r="H44" s="99"/>
      <c r="I44" s="100">
        <f>SUM(I45:I45)</f>
        <v>94800</v>
      </c>
      <c r="J44" s="53"/>
    </row>
    <row r="45" spans="1:10" s="11" customFormat="1">
      <c r="A45" s="277"/>
      <c r="B45" s="111"/>
      <c r="C45" s="112"/>
      <c r="D45" s="112"/>
      <c r="E45" s="112"/>
      <c r="F45" s="113"/>
      <c r="G45" s="49" t="s">
        <v>269</v>
      </c>
      <c r="H45" s="281" t="s">
        <v>34</v>
      </c>
      <c r="I45" s="51">
        <f>39500*2*2*0.6</f>
        <v>94800</v>
      </c>
      <c r="J45" s="52"/>
    </row>
    <row r="46" spans="1:10" ht="15.75" customHeight="1">
      <c r="A46" s="21"/>
      <c r="B46" s="13"/>
      <c r="C46" s="6"/>
      <c r="D46" s="6"/>
      <c r="E46" s="6"/>
      <c r="F46" s="80"/>
      <c r="G46" s="98" t="s">
        <v>76</v>
      </c>
      <c r="H46" s="99"/>
      <c r="I46" s="100">
        <f>SUM(I47:I48)</f>
        <v>268800</v>
      </c>
      <c r="J46" s="40"/>
    </row>
    <row r="47" spans="1:10">
      <c r="A47" s="21"/>
      <c r="B47" s="13"/>
      <c r="C47" s="6"/>
      <c r="D47" s="6"/>
      <c r="E47" s="6"/>
      <c r="F47" s="80"/>
      <c r="G47" s="307" t="s">
        <v>228</v>
      </c>
      <c r="H47" s="320" t="s">
        <v>34</v>
      </c>
      <c r="I47" s="308">
        <f>16000*12</f>
        <v>192000</v>
      </c>
      <c r="J47" s="41"/>
    </row>
    <row r="48" spans="1:10">
      <c r="A48" s="21"/>
      <c r="B48" s="13"/>
      <c r="C48" s="6"/>
      <c r="D48" s="6"/>
      <c r="E48" s="6"/>
      <c r="F48" s="80"/>
      <c r="G48" s="324" t="s">
        <v>206</v>
      </c>
      <c r="H48" s="343" t="s">
        <v>34</v>
      </c>
      <c r="I48" s="332">
        <f>6400*12</f>
        <v>76800</v>
      </c>
      <c r="J48" s="42"/>
    </row>
    <row r="49" spans="1:12" ht="16.5" customHeight="1">
      <c r="A49" s="22"/>
      <c r="B49" s="407" t="s">
        <v>42</v>
      </c>
      <c r="C49" s="5">
        <v>480000</v>
      </c>
      <c r="D49" s="5"/>
      <c r="E49" s="5">
        <f>SUM(I49,I51)</f>
        <v>480000</v>
      </c>
      <c r="F49" s="79">
        <f>E49-C49</f>
        <v>0</v>
      </c>
      <c r="G49" s="98" t="s">
        <v>221</v>
      </c>
      <c r="H49" s="99"/>
      <c r="I49" s="100">
        <f>SUM(I50:I50)</f>
        <v>210000</v>
      </c>
      <c r="J49" s="40"/>
    </row>
    <row r="50" spans="1:12">
      <c r="A50" s="21"/>
      <c r="B50" s="409"/>
      <c r="C50" s="237"/>
      <c r="D50" s="237"/>
      <c r="E50" s="237"/>
      <c r="F50" s="237"/>
      <c r="G50" s="307" t="s">
        <v>340</v>
      </c>
      <c r="H50" s="320" t="s">
        <v>27</v>
      </c>
      <c r="I50" s="308">
        <v>210000</v>
      </c>
      <c r="J50" s="41"/>
    </row>
    <row r="51" spans="1:12">
      <c r="A51" s="21"/>
      <c r="B51" s="13"/>
      <c r="C51" s="245"/>
      <c r="D51" s="245"/>
      <c r="E51" s="245"/>
      <c r="F51" s="80"/>
      <c r="G51" s="98" t="s">
        <v>91</v>
      </c>
      <c r="H51" s="99"/>
      <c r="I51" s="100">
        <f>SUM(I52:I52)</f>
        <v>270000</v>
      </c>
      <c r="J51" s="40"/>
    </row>
    <row r="52" spans="1:12" ht="17.25" thickBot="1">
      <c r="A52" s="21"/>
      <c r="B52" s="13"/>
      <c r="C52" s="6"/>
      <c r="D52" s="6"/>
      <c r="E52" s="6"/>
      <c r="F52" s="80"/>
      <c r="G52" s="45" t="s">
        <v>270</v>
      </c>
      <c r="H52" s="278" t="s">
        <v>27</v>
      </c>
      <c r="I52" s="47">
        <f>90000*3</f>
        <v>270000</v>
      </c>
      <c r="J52" s="41"/>
    </row>
    <row r="53" spans="1:12" ht="16.5" customHeight="1">
      <c r="A53" s="412" t="s">
        <v>22</v>
      </c>
      <c r="B53" s="413"/>
      <c r="C53" s="192">
        <f>SUM(C55,C88,C139,C162)</f>
        <v>3642168</v>
      </c>
      <c r="D53" s="192">
        <v>0</v>
      </c>
      <c r="E53" s="192">
        <f>E55+E88+E139+E162</f>
        <v>3667369</v>
      </c>
      <c r="F53" s="193">
        <f>E53-C53</f>
        <v>25201</v>
      </c>
      <c r="G53" s="194"/>
      <c r="H53" s="195" t="s">
        <v>27</v>
      </c>
      <c r="I53" s="196"/>
      <c r="J53" s="197"/>
    </row>
    <row r="54" spans="1:12" ht="16.5" customHeight="1">
      <c r="A54" s="198"/>
      <c r="B54" s="199"/>
      <c r="C54" s="238"/>
      <c r="D54" s="238"/>
      <c r="E54" s="238"/>
      <c r="F54" s="238"/>
      <c r="G54" s="188"/>
      <c r="H54" s="189"/>
      <c r="I54" s="190"/>
      <c r="J54" s="191"/>
    </row>
    <row r="55" spans="1:12" s="10" customFormat="1" ht="16.5" customHeight="1">
      <c r="A55" s="23"/>
      <c r="B55" s="16" t="s">
        <v>43</v>
      </c>
      <c r="C55" s="5">
        <v>1459118</v>
      </c>
      <c r="D55" s="5"/>
      <c r="E55" s="5">
        <f>I55+I70+I83+I86</f>
        <v>1253118</v>
      </c>
      <c r="F55" s="79">
        <f>E55-C55</f>
        <v>-206000</v>
      </c>
      <c r="G55" s="98" t="s">
        <v>109</v>
      </c>
      <c r="H55" s="107"/>
      <c r="I55" s="100">
        <f>SUM(I56:I69)</f>
        <v>154650</v>
      </c>
      <c r="J55" s="44"/>
    </row>
    <row r="56" spans="1:12">
      <c r="A56" s="18"/>
      <c r="B56" s="13"/>
      <c r="C56" s="237"/>
      <c r="D56" s="237"/>
      <c r="E56" s="237"/>
      <c r="F56" s="237"/>
      <c r="G56" s="45" t="s">
        <v>115</v>
      </c>
      <c r="H56" s="46" t="s">
        <v>27</v>
      </c>
      <c r="I56" s="47">
        <f>200*12*2*12</f>
        <v>57600</v>
      </c>
      <c r="J56" s="41"/>
    </row>
    <row r="57" spans="1:12">
      <c r="A57" s="18"/>
      <c r="B57" s="13"/>
      <c r="C57" s="6"/>
      <c r="D57" s="6"/>
      <c r="E57" s="6"/>
      <c r="F57" s="80"/>
      <c r="G57" s="45" t="s">
        <v>319</v>
      </c>
      <c r="H57" s="46" t="s">
        <v>27</v>
      </c>
      <c r="I57" s="47">
        <v>0</v>
      </c>
      <c r="J57" s="41"/>
    </row>
    <row r="58" spans="1:12">
      <c r="A58" s="18"/>
      <c r="B58" s="13"/>
      <c r="C58" s="6"/>
      <c r="D58" s="6"/>
      <c r="E58" s="6"/>
      <c r="F58" s="80"/>
      <c r="G58" s="45" t="s">
        <v>318</v>
      </c>
      <c r="H58" s="46" t="s">
        <v>27</v>
      </c>
      <c r="I58" s="47">
        <v>0</v>
      </c>
      <c r="J58" s="48"/>
    </row>
    <row r="59" spans="1:12" s="10" customFormat="1">
      <c r="A59" s="18"/>
      <c r="B59" s="13"/>
      <c r="C59" s="6"/>
      <c r="D59" s="6"/>
      <c r="E59" s="6"/>
      <c r="F59" s="80"/>
      <c r="G59" s="45" t="s">
        <v>314</v>
      </c>
      <c r="H59" s="46" t="s">
        <v>27</v>
      </c>
      <c r="I59" s="47">
        <v>0</v>
      </c>
      <c r="J59" s="41"/>
    </row>
    <row r="60" spans="1:12">
      <c r="A60" s="18"/>
      <c r="B60" s="13"/>
      <c r="C60" s="6"/>
      <c r="D60" s="6"/>
      <c r="E60" s="6"/>
      <c r="F60" s="80"/>
      <c r="G60" s="45" t="s">
        <v>315</v>
      </c>
      <c r="H60" s="46" t="s">
        <v>27</v>
      </c>
      <c r="I60" s="47">
        <v>0</v>
      </c>
      <c r="J60" s="41"/>
      <c r="L60" s="360"/>
    </row>
    <row r="61" spans="1:12">
      <c r="A61" s="18"/>
      <c r="B61" s="13"/>
      <c r="C61" s="6"/>
      <c r="D61" s="6"/>
      <c r="E61" s="6"/>
      <c r="F61" s="80"/>
      <c r="G61" s="45" t="s">
        <v>316</v>
      </c>
      <c r="H61" s="46" t="s">
        <v>27</v>
      </c>
      <c r="I61" s="47">
        <v>0</v>
      </c>
      <c r="J61" s="41"/>
    </row>
    <row r="62" spans="1:12">
      <c r="A62" s="18"/>
      <c r="B62" s="13"/>
      <c r="C62" s="6"/>
      <c r="D62" s="6"/>
      <c r="E62" s="6"/>
      <c r="F62" s="80"/>
      <c r="G62" s="45" t="s">
        <v>317</v>
      </c>
      <c r="H62" s="46" t="s">
        <v>27</v>
      </c>
      <c r="I62" s="47">
        <v>0</v>
      </c>
      <c r="J62" s="41"/>
    </row>
    <row r="63" spans="1:12">
      <c r="A63" s="18"/>
      <c r="B63" s="13"/>
      <c r="C63" s="6"/>
      <c r="D63" s="6"/>
      <c r="E63" s="6"/>
      <c r="F63" s="80"/>
      <c r="G63" s="45" t="s">
        <v>273</v>
      </c>
      <c r="H63" s="46" t="s">
        <v>27</v>
      </c>
      <c r="I63" s="47">
        <f>4500*4</f>
        <v>18000</v>
      </c>
      <c r="J63" s="41"/>
    </row>
    <row r="64" spans="1:12">
      <c r="A64" s="18"/>
      <c r="B64" s="13"/>
      <c r="C64" s="6"/>
      <c r="D64" s="6"/>
      <c r="E64" s="6"/>
      <c r="F64" s="80"/>
      <c r="G64" s="45" t="s">
        <v>272</v>
      </c>
      <c r="H64" s="46" t="s">
        <v>27</v>
      </c>
      <c r="I64" s="47">
        <f>9000*2</f>
        <v>18000</v>
      </c>
      <c r="J64" s="41"/>
    </row>
    <row r="65" spans="1:10">
      <c r="A65" s="18"/>
      <c r="B65" s="13"/>
      <c r="C65" s="6"/>
      <c r="D65" s="6"/>
      <c r="E65" s="6"/>
      <c r="F65" s="80"/>
      <c r="G65" s="45" t="s">
        <v>136</v>
      </c>
      <c r="H65" s="46" t="s">
        <v>116</v>
      </c>
      <c r="I65" s="47">
        <v>750</v>
      </c>
      <c r="J65" s="41"/>
    </row>
    <row r="66" spans="1:10">
      <c r="A66" s="18"/>
      <c r="B66" s="13"/>
      <c r="C66" s="6"/>
      <c r="D66" s="6"/>
      <c r="E66" s="6"/>
      <c r="F66" s="80"/>
      <c r="G66" s="45" t="s">
        <v>160</v>
      </c>
      <c r="H66" s="46" t="s">
        <v>116</v>
      </c>
      <c r="I66" s="47">
        <f>500*5</f>
        <v>2500</v>
      </c>
      <c r="J66" s="41"/>
    </row>
    <row r="67" spans="1:10">
      <c r="A67" s="18"/>
      <c r="B67" s="13"/>
      <c r="C67" s="6"/>
      <c r="D67" s="6"/>
      <c r="E67" s="6"/>
      <c r="F67" s="80"/>
      <c r="G67" s="45" t="s">
        <v>161</v>
      </c>
      <c r="H67" s="46" t="s">
        <v>116</v>
      </c>
      <c r="I67" s="47">
        <f>30*50</f>
        <v>1500</v>
      </c>
      <c r="J67" s="41"/>
    </row>
    <row r="68" spans="1:10">
      <c r="A68" s="18"/>
      <c r="B68" s="13"/>
      <c r="C68" s="6"/>
      <c r="D68" s="6"/>
      <c r="E68" s="6"/>
      <c r="F68" s="80"/>
      <c r="G68" s="45" t="s">
        <v>185</v>
      </c>
      <c r="H68" s="46" t="s">
        <v>27</v>
      </c>
      <c r="I68" s="47">
        <f>6300</f>
        <v>6300</v>
      </c>
      <c r="J68" s="41"/>
    </row>
    <row r="69" spans="1:10" s="11" customFormat="1">
      <c r="A69" s="110"/>
      <c r="B69" s="111"/>
      <c r="C69" s="112"/>
      <c r="D69" s="112"/>
      <c r="E69" s="112"/>
      <c r="F69" s="113"/>
      <c r="G69" s="45" t="s">
        <v>184</v>
      </c>
      <c r="H69" s="46" t="s">
        <v>27</v>
      </c>
      <c r="I69" s="47">
        <f>10000*5</f>
        <v>50000</v>
      </c>
      <c r="J69" s="48"/>
    </row>
    <row r="70" spans="1:10" s="11" customFormat="1">
      <c r="A70" s="110"/>
      <c r="B70" s="111"/>
      <c r="C70" s="112"/>
      <c r="D70" s="112"/>
      <c r="E70" s="112"/>
      <c r="F70" s="113"/>
      <c r="G70" s="98" t="s">
        <v>107</v>
      </c>
      <c r="H70" s="107"/>
      <c r="I70" s="100">
        <f>SUM(I71:I82)</f>
        <v>982200</v>
      </c>
      <c r="J70" s="53"/>
    </row>
    <row r="71" spans="1:10" s="11" customFormat="1">
      <c r="A71" s="110"/>
      <c r="B71" s="111"/>
      <c r="C71" s="112"/>
      <c r="D71" s="112"/>
      <c r="E71" s="112"/>
      <c r="F71" s="113"/>
      <c r="G71" s="45" t="s">
        <v>182</v>
      </c>
      <c r="H71" s="46" t="s">
        <v>27</v>
      </c>
      <c r="I71" s="47">
        <f>5500*12</f>
        <v>66000</v>
      </c>
      <c r="J71" s="48"/>
    </row>
    <row r="72" spans="1:10" s="11" customFormat="1">
      <c r="A72" s="110"/>
      <c r="B72" s="111"/>
      <c r="C72" s="112"/>
      <c r="D72" s="112"/>
      <c r="E72" s="112"/>
      <c r="F72" s="113"/>
      <c r="G72" s="45" t="s">
        <v>207</v>
      </c>
      <c r="H72" s="46" t="s">
        <v>27</v>
      </c>
      <c r="I72" s="47">
        <f>20000*12</f>
        <v>240000</v>
      </c>
      <c r="J72" s="48"/>
    </row>
    <row r="73" spans="1:10" s="11" customFormat="1">
      <c r="A73" s="110"/>
      <c r="B73" s="111"/>
      <c r="C73" s="112"/>
      <c r="D73" s="112"/>
      <c r="E73" s="112"/>
      <c r="F73" s="113"/>
      <c r="G73" s="45" t="s">
        <v>156</v>
      </c>
      <c r="H73" s="46" t="s">
        <v>27</v>
      </c>
      <c r="I73" s="47">
        <f>500*12</f>
        <v>6000</v>
      </c>
      <c r="J73" s="48"/>
    </row>
    <row r="74" spans="1:10" s="11" customFormat="1" ht="15.75" customHeight="1">
      <c r="A74" s="110"/>
      <c r="B74" s="111"/>
      <c r="C74" s="112"/>
      <c r="D74" s="112"/>
      <c r="E74" s="112"/>
      <c r="F74" s="113"/>
      <c r="G74" s="45" t="s">
        <v>164</v>
      </c>
      <c r="H74" s="46" t="s">
        <v>27</v>
      </c>
      <c r="I74" s="47">
        <f>150*12</f>
        <v>1800</v>
      </c>
      <c r="J74" s="48"/>
    </row>
    <row r="75" spans="1:10" s="11" customFormat="1">
      <c r="A75" s="110"/>
      <c r="B75" s="111"/>
      <c r="C75" s="112"/>
      <c r="D75" s="112"/>
      <c r="E75" s="112"/>
      <c r="F75" s="113"/>
      <c r="G75" s="45" t="s">
        <v>247</v>
      </c>
      <c r="H75" s="46" t="s">
        <v>27</v>
      </c>
      <c r="I75" s="47">
        <f>24000*10</f>
        <v>240000</v>
      </c>
      <c r="J75" s="48"/>
    </row>
    <row r="76" spans="1:10" s="11" customFormat="1">
      <c r="A76" s="110"/>
      <c r="B76" s="111"/>
      <c r="C76" s="112"/>
      <c r="D76" s="112"/>
      <c r="E76" s="112"/>
      <c r="F76" s="113"/>
      <c r="G76" s="45" t="s">
        <v>165</v>
      </c>
      <c r="H76" s="46" t="s">
        <v>27</v>
      </c>
      <c r="I76" s="47">
        <f>2000*4</f>
        <v>8000</v>
      </c>
      <c r="J76" s="48"/>
    </row>
    <row r="77" spans="1:10" s="11" customFormat="1">
      <c r="A77" s="110"/>
      <c r="B77" s="111"/>
      <c r="C77" s="112"/>
      <c r="D77" s="112"/>
      <c r="E77" s="112"/>
      <c r="F77" s="113"/>
      <c r="G77" s="45" t="s">
        <v>208</v>
      </c>
      <c r="H77" s="46" t="s">
        <v>27</v>
      </c>
      <c r="I77" s="47">
        <f>7000*12</f>
        <v>84000</v>
      </c>
      <c r="J77" s="48"/>
    </row>
    <row r="78" spans="1:10" s="11" customFormat="1">
      <c r="A78" s="110"/>
      <c r="B78" s="111"/>
      <c r="C78" s="112"/>
      <c r="D78" s="112"/>
      <c r="E78" s="112"/>
      <c r="F78" s="113"/>
      <c r="G78" s="45" t="s">
        <v>274</v>
      </c>
      <c r="H78" s="46" t="s">
        <v>27</v>
      </c>
      <c r="I78" s="47">
        <f>10000*10</f>
        <v>100000</v>
      </c>
      <c r="J78" s="48"/>
    </row>
    <row r="79" spans="1:10" s="11" customFormat="1">
      <c r="A79" s="110"/>
      <c r="B79" s="111"/>
      <c r="C79" s="112"/>
      <c r="D79" s="112"/>
      <c r="E79" s="112"/>
      <c r="F79" s="113"/>
      <c r="G79" s="45" t="s">
        <v>180</v>
      </c>
      <c r="H79" s="46" t="s">
        <v>27</v>
      </c>
      <c r="I79" s="47">
        <f>12000*1</f>
        <v>12000</v>
      </c>
      <c r="J79" s="48"/>
    </row>
    <row r="80" spans="1:10" s="11" customFormat="1">
      <c r="A80" s="110"/>
      <c r="B80" s="111"/>
      <c r="C80" s="112"/>
      <c r="D80" s="112"/>
      <c r="E80" s="112"/>
      <c r="F80" s="113"/>
      <c r="G80" s="45" t="s">
        <v>187</v>
      </c>
      <c r="H80" s="46" t="s">
        <v>27</v>
      </c>
      <c r="I80" s="47">
        <f>3000*12</f>
        <v>36000</v>
      </c>
      <c r="J80" s="48"/>
    </row>
    <row r="81" spans="1:10" s="11" customFormat="1">
      <c r="A81" s="110"/>
      <c r="B81" s="111"/>
      <c r="C81" s="112"/>
      <c r="D81" s="112"/>
      <c r="E81" s="112"/>
      <c r="F81" s="113"/>
      <c r="G81" s="45" t="s">
        <v>174</v>
      </c>
      <c r="H81" s="46" t="s">
        <v>27</v>
      </c>
      <c r="I81" s="47">
        <f>3200*12</f>
        <v>38400</v>
      </c>
      <c r="J81" s="48"/>
    </row>
    <row r="82" spans="1:10" s="11" customFormat="1">
      <c r="A82" s="110"/>
      <c r="B82" s="111"/>
      <c r="C82" s="112"/>
      <c r="D82" s="112"/>
      <c r="E82" s="112"/>
      <c r="F82" s="113"/>
      <c r="G82" s="45" t="s">
        <v>209</v>
      </c>
      <c r="H82" s="46" t="s">
        <v>27</v>
      </c>
      <c r="I82" s="47">
        <f>10000*15</f>
        <v>150000</v>
      </c>
      <c r="J82" s="48"/>
    </row>
    <row r="83" spans="1:10">
      <c r="A83" s="18"/>
      <c r="B83" s="13"/>
      <c r="C83" s="6"/>
      <c r="D83" s="6"/>
      <c r="E83" s="6"/>
      <c r="F83" s="80"/>
      <c r="G83" s="98" t="s">
        <v>112</v>
      </c>
      <c r="H83" s="107"/>
      <c r="I83" s="100">
        <f>SUM(I84:I85)</f>
        <v>54600</v>
      </c>
      <c r="J83" s="40"/>
    </row>
    <row r="84" spans="1:10">
      <c r="A84" s="18"/>
      <c r="B84" s="13"/>
      <c r="C84" s="6"/>
      <c r="D84" s="6"/>
      <c r="E84" s="6"/>
      <c r="F84" s="80"/>
      <c r="G84" s="45" t="s">
        <v>312</v>
      </c>
      <c r="H84" s="46" t="s">
        <v>237</v>
      </c>
      <c r="I84" s="47">
        <f>100*3*182</f>
        <v>54600</v>
      </c>
      <c r="J84" s="41"/>
    </row>
    <row r="85" spans="1:10" s="11" customFormat="1">
      <c r="A85" s="110"/>
      <c r="B85" s="111"/>
      <c r="C85" s="112"/>
      <c r="D85" s="112"/>
      <c r="E85" s="112"/>
      <c r="F85" s="113"/>
      <c r="G85" s="45"/>
      <c r="H85" s="46"/>
      <c r="I85" s="47"/>
      <c r="J85" s="48"/>
    </row>
    <row r="86" spans="1:10" s="11" customFormat="1">
      <c r="A86" s="110"/>
      <c r="B86" s="111"/>
      <c r="C86" s="112"/>
      <c r="D86" s="112"/>
      <c r="E86" s="112"/>
      <c r="F86" s="113"/>
      <c r="G86" s="98" t="s">
        <v>222</v>
      </c>
      <c r="H86" s="107"/>
      <c r="I86" s="100">
        <f>SUM(I87:I87)</f>
        <v>61668</v>
      </c>
      <c r="J86" s="53"/>
    </row>
    <row r="87" spans="1:10" s="11" customFormat="1">
      <c r="A87" s="110"/>
      <c r="B87" s="111"/>
      <c r="C87" s="112"/>
      <c r="D87" s="112"/>
      <c r="E87" s="112"/>
      <c r="F87" s="113"/>
      <c r="G87" s="45" t="s">
        <v>154</v>
      </c>
      <c r="H87" s="46" t="s">
        <v>27</v>
      </c>
      <c r="I87" s="47">
        <f>61668</f>
        <v>61668</v>
      </c>
      <c r="J87" s="48"/>
    </row>
    <row r="88" spans="1:10" s="11" customFormat="1" ht="16.5" customHeight="1">
      <c r="A88" s="133"/>
      <c r="B88" s="418" t="s">
        <v>44</v>
      </c>
      <c r="C88" s="117">
        <v>1153200</v>
      </c>
      <c r="D88" s="117"/>
      <c r="E88" s="117">
        <f>SUM(I88,I96,I98,I100,I105,I111,I113,I120,I124,I126,I128,I133,I135)</f>
        <v>1316301</v>
      </c>
      <c r="F88" s="118">
        <f>E88-C88</f>
        <v>163101</v>
      </c>
      <c r="G88" s="98" t="s">
        <v>30</v>
      </c>
      <c r="H88" s="107"/>
      <c r="I88" s="100">
        <f>SUM(I89:I95)</f>
        <v>623101</v>
      </c>
      <c r="J88" s="123"/>
    </row>
    <row r="89" spans="1:10" s="8" customFormat="1">
      <c r="A89" s="134"/>
      <c r="B89" s="419"/>
      <c r="C89" s="237"/>
      <c r="D89" s="237"/>
      <c r="E89" s="237"/>
      <c r="F89" s="237"/>
      <c r="G89" s="45" t="s">
        <v>281</v>
      </c>
      <c r="H89" s="46" t="s">
        <v>34</v>
      </c>
      <c r="I89" s="47">
        <f>10000*41</f>
        <v>410000</v>
      </c>
      <c r="J89" s="48"/>
    </row>
    <row r="90" spans="1:10" s="8" customFormat="1">
      <c r="A90" s="134"/>
      <c r="B90" s="294"/>
      <c r="C90" s="237"/>
      <c r="D90" s="237"/>
      <c r="E90" s="237"/>
      <c r="F90" s="237"/>
      <c r="G90" s="45" t="s">
        <v>162</v>
      </c>
      <c r="H90" s="46" t="s">
        <v>27</v>
      </c>
      <c r="I90" s="47">
        <f>2000*5</f>
        <v>10000</v>
      </c>
      <c r="J90" s="48"/>
    </row>
    <row r="91" spans="1:10" s="8" customFormat="1">
      <c r="A91" s="134"/>
      <c r="B91" s="361"/>
      <c r="C91" s="237"/>
      <c r="D91" s="237"/>
      <c r="E91" s="237"/>
      <c r="F91" s="237"/>
      <c r="G91" s="45" t="s">
        <v>332</v>
      </c>
      <c r="H91" s="46" t="s">
        <v>27</v>
      </c>
      <c r="I91" s="47">
        <v>48695</v>
      </c>
      <c r="J91" s="48"/>
    </row>
    <row r="92" spans="1:10" s="8" customFormat="1">
      <c r="A92" s="134"/>
      <c r="B92" s="361"/>
      <c r="C92" s="237"/>
      <c r="D92" s="237"/>
      <c r="E92" s="237"/>
      <c r="F92" s="237"/>
      <c r="G92" s="45" t="s">
        <v>331</v>
      </c>
      <c r="H92" s="46" t="s">
        <v>27</v>
      </c>
      <c r="I92" s="47">
        <v>63406</v>
      </c>
      <c r="J92" s="48"/>
    </row>
    <row r="93" spans="1:10" s="8" customFormat="1">
      <c r="A93" s="134"/>
      <c r="B93" s="294"/>
      <c r="C93" s="237"/>
      <c r="D93" s="237"/>
      <c r="E93" s="237"/>
      <c r="F93" s="237"/>
      <c r="G93" s="45" t="s">
        <v>163</v>
      </c>
      <c r="H93" s="46" t="s">
        <v>27</v>
      </c>
      <c r="I93" s="47">
        <f>5000*2</f>
        <v>10000</v>
      </c>
      <c r="J93" s="48"/>
    </row>
    <row r="94" spans="1:10" s="8" customFormat="1">
      <c r="A94" s="134"/>
      <c r="B94" s="294"/>
      <c r="C94" s="237"/>
      <c r="D94" s="237"/>
      <c r="E94" s="237"/>
      <c r="F94" s="237"/>
      <c r="G94" s="45" t="s">
        <v>173</v>
      </c>
      <c r="H94" s="46" t="s">
        <v>27</v>
      </c>
      <c r="I94" s="47">
        <v>24000</v>
      </c>
      <c r="J94" s="41"/>
    </row>
    <row r="95" spans="1:10" s="11" customFormat="1">
      <c r="A95" s="134"/>
      <c r="B95" s="135"/>
      <c r="C95" s="112"/>
      <c r="D95" s="112"/>
      <c r="E95" s="112"/>
      <c r="F95" s="113"/>
      <c r="G95" s="45" t="s">
        <v>311</v>
      </c>
      <c r="H95" s="46" t="s">
        <v>27</v>
      </c>
      <c r="I95" s="47">
        <f>300*190</f>
        <v>57000</v>
      </c>
      <c r="J95" s="48"/>
    </row>
    <row r="96" spans="1:10">
      <c r="A96" s="18"/>
      <c r="B96" s="13"/>
      <c r="C96" s="6"/>
      <c r="D96" s="6"/>
      <c r="E96" s="6"/>
      <c r="F96" s="80"/>
      <c r="G96" s="98" t="s">
        <v>117</v>
      </c>
      <c r="H96" s="107"/>
      <c r="I96" s="100">
        <f>SUM(I97:I97)</f>
        <v>9000</v>
      </c>
      <c r="J96" s="44"/>
    </row>
    <row r="97" spans="1:10" s="11" customFormat="1">
      <c r="A97" s="110"/>
      <c r="B97" s="111"/>
      <c r="C97" s="112"/>
      <c r="D97" s="112"/>
      <c r="E97" s="112"/>
      <c r="F97" s="113"/>
      <c r="G97" s="45" t="s">
        <v>175</v>
      </c>
      <c r="H97" s="46" t="s">
        <v>27</v>
      </c>
      <c r="I97" s="47">
        <f>600*15</f>
        <v>9000</v>
      </c>
      <c r="J97" s="48"/>
    </row>
    <row r="98" spans="1:10" s="11" customFormat="1">
      <c r="A98" s="110"/>
      <c r="B98" s="111"/>
      <c r="C98" s="112"/>
      <c r="D98" s="112"/>
      <c r="E98" s="112"/>
      <c r="F98" s="113"/>
      <c r="G98" s="98" t="s">
        <v>118</v>
      </c>
      <c r="H98" s="107"/>
      <c r="I98" s="100">
        <f>SUM(I99:I99)</f>
        <v>0</v>
      </c>
      <c r="J98" s="123"/>
    </row>
    <row r="99" spans="1:10" s="11" customFormat="1">
      <c r="A99" s="110"/>
      <c r="B99" s="111"/>
      <c r="C99" s="112"/>
      <c r="D99" s="112"/>
      <c r="E99" s="112"/>
      <c r="F99" s="113"/>
      <c r="G99" s="49"/>
      <c r="H99" s="50" t="s">
        <v>27</v>
      </c>
      <c r="I99" s="51"/>
      <c r="J99" s="52"/>
    </row>
    <row r="100" spans="1:10" s="11" customFormat="1">
      <c r="A100" s="110"/>
      <c r="B100" s="111"/>
      <c r="C100" s="112"/>
      <c r="D100" s="112"/>
      <c r="E100" s="112"/>
      <c r="F100" s="113"/>
      <c r="G100" s="98" t="s">
        <v>119</v>
      </c>
      <c r="H100" s="107"/>
      <c r="I100" s="100">
        <f>SUM(I101:I104)</f>
        <v>71200</v>
      </c>
      <c r="J100" s="53"/>
    </row>
    <row r="101" spans="1:10">
      <c r="A101" s="18"/>
      <c r="B101" s="13"/>
      <c r="C101" s="6"/>
      <c r="D101" s="6"/>
      <c r="E101" s="6"/>
      <c r="F101" s="80"/>
      <c r="G101" s="307" t="s">
        <v>168</v>
      </c>
      <c r="H101" s="321" t="s">
        <v>27</v>
      </c>
      <c r="I101" s="308">
        <f>100*45*2</f>
        <v>9000</v>
      </c>
      <c r="J101" s="48"/>
    </row>
    <row r="102" spans="1:10" s="11" customFormat="1">
      <c r="A102" s="110"/>
      <c r="B102" s="111"/>
      <c r="C102" s="112"/>
      <c r="D102" s="112"/>
      <c r="E102" s="112"/>
      <c r="F102" s="113"/>
      <c r="G102" s="307" t="s">
        <v>167</v>
      </c>
      <c r="H102" s="321" t="s">
        <v>27</v>
      </c>
      <c r="I102" s="308">
        <f>10*45*6</f>
        <v>2700</v>
      </c>
      <c r="J102" s="48"/>
    </row>
    <row r="103" spans="1:10" s="11" customFormat="1">
      <c r="A103" s="110"/>
      <c r="B103" s="111"/>
      <c r="C103" s="112"/>
      <c r="D103" s="112"/>
      <c r="E103" s="112"/>
      <c r="F103" s="113"/>
      <c r="G103" s="307" t="s">
        <v>166</v>
      </c>
      <c r="H103" s="321" t="s">
        <v>27</v>
      </c>
      <c r="I103" s="308">
        <f>1300*45</f>
        <v>58500</v>
      </c>
      <c r="J103" s="48"/>
    </row>
    <row r="104" spans="1:10" s="11" customFormat="1">
      <c r="A104" s="110"/>
      <c r="B104" s="111"/>
      <c r="C104" s="112"/>
      <c r="D104" s="112"/>
      <c r="E104" s="112"/>
      <c r="F104" s="113"/>
      <c r="G104" s="324" t="s">
        <v>169</v>
      </c>
      <c r="H104" s="331" t="s">
        <v>27</v>
      </c>
      <c r="I104" s="332">
        <f>1000*1</f>
        <v>1000</v>
      </c>
      <c r="J104" s="52"/>
    </row>
    <row r="105" spans="1:10">
      <c r="A105" s="18"/>
      <c r="B105" s="13"/>
      <c r="C105" s="6"/>
      <c r="D105" s="6"/>
      <c r="E105" s="6"/>
      <c r="F105" s="80"/>
      <c r="G105" s="327" t="s">
        <v>120</v>
      </c>
      <c r="H105" s="333"/>
      <c r="I105" s="329">
        <f>SUM(I106:I110)</f>
        <v>48900</v>
      </c>
      <c r="J105" s="53"/>
    </row>
    <row r="106" spans="1:10">
      <c r="A106" s="18"/>
      <c r="B106" s="13"/>
      <c r="C106" s="6"/>
      <c r="D106" s="6"/>
      <c r="E106" s="6"/>
      <c r="F106" s="80"/>
      <c r="G106" s="45" t="s">
        <v>168</v>
      </c>
      <c r="H106" s="46" t="s">
        <v>27</v>
      </c>
      <c r="I106" s="47">
        <f>100*45*2</f>
        <v>9000</v>
      </c>
      <c r="J106" s="48"/>
    </row>
    <row r="107" spans="1:10">
      <c r="A107" s="18"/>
      <c r="B107" s="13"/>
      <c r="C107" s="6"/>
      <c r="D107" s="6"/>
      <c r="E107" s="6"/>
      <c r="F107" s="80"/>
      <c r="G107" s="45" t="s">
        <v>171</v>
      </c>
      <c r="H107" s="46" t="s">
        <v>27</v>
      </c>
      <c r="I107" s="47">
        <f>10*45*6</f>
        <v>2700</v>
      </c>
      <c r="J107" s="48"/>
    </row>
    <row r="108" spans="1:10" ht="17.25" customHeight="1">
      <c r="A108" s="18"/>
      <c r="B108" s="13"/>
      <c r="C108" s="6"/>
      <c r="D108" s="6"/>
      <c r="E108" s="6"/>
      <c r="F108" s="80"/>
      <c r="G108" s="45" t="s">
        <v>170</v>
      </c>
      <c r="H108" s="46" t="s">
        <v>27</v>
      </c>
      <c r="I108" s="47">
        <f>400*90</f>
        <v>36000</v>
      </c>
      <c r="J108" s="48"/>
    </row>
    <row r="109" spans="1:10" ht="17.25" customHeight="1">
      <c r="A109" s="18"/>
      <c r="B109" s="13"/>
      <c r="C109" s="6"/>
      <c r="D109" s="6"/>
      <c r="E109" s="6"/>
      <c r="F109" s="80"/>
      <c r="G109" s="45" t="s">
        <v>169</v>
      </c>
      <c r="H109" s="46" t="s">
        <v>27</v>
      </c>
      <c r="I109" s="47">
        <f>1000*1</f>
        <v>1000</v>
      </c>
      <c r="J109" s="48"/>
    </row>
    <row r="110" spans="1:10">
      <c r="A110" s="18"/>
      <c r="B110" s="13"/>
      <c r="C110" s="6"/>
      <c r="D110" s="6"/>
      <c r="E110" s="6"/>
      <c r="F110" s="80"/>
      <c r="G110" s="45" t="s">
        <v>129</v>
      </c>
      <c r="H110" s="46" t="s">
        <v>27</v>
      </c>
      <c r="I110" s="47">
        <v>200</v>
      </c>
      <c r="J110" s="48"/>
    </row>
    <row r="111" spans="1:10" ht="16.5" customHeight="1">
      <c r="A111" s="18"/>
      <c r="B111" s="13"/>
      <c r="C111" s="6"/>
      <c r="D111" s="6"/>
      <c r="E111" s="6"/>
      <c r="F111" s="80"/>
      <c r="G111" s="98" t="s">
        <v>121</v>
      </c>
      <c r="H111" s="107"/>
      <c r="I111" s="100">
        <f>SUM(I112:I112)</f>
        <v>48000</v>
      </c>
      <c r="J111" s="40"/>
    </row>
    <row r="112" spans="1:10" s="11" customFormat="1" ht="16.5" customHeight="1">
      <c r="A112" s="110"/>
      <c r="B112" s="111"/>
      <c r="C112" s="112"/>
      <c r="D112" s="112"/>
      <c r="E112" s="112"/>
      <c r="F112" s="113"/>
      <c r="G112" s="45" t="s">
        <v>280</v>
      </c>
      <c r="H112" s="46" t="s">
        <v>27</v>
      </c>
      <c r="I112" s="47">
        <f>1000*24*2</f>
        <v>48000</v>
      </c>
      <c r="J112" s="48"/>
    </row>
    <row r="113" spans="1:10">
      <c r="A113" s="18"/>
      <c r="B113" s="13"/>
      <c r="C113" s="6"/>
      <c r="D113" s="6"/>
      <c r="E113" s="6"/>
      <c r="F113" s="80"/>
      <c r="G113" s="98" t="s">
        <v>122</v>
      </c>
      <c r="H113" s="107"/>
      <c r="I113" s="100">
        <f>SUM(I114:I119)</f>
        <v>83200</v>
      </c>
      <c r="J113" s="40"/>
    </row>
    <row r="114" spans="1:10" s="11" customFormat="1">
      <c r="A114" s="110"/>
      <c r="B114" s="111"/>
      <c r="C114" s="112"/>
      <c r="D114" s="112"/>
      <c r="E114" s="112"/>
      <c r="F114" s="113"/>
      <c r="G114" s="45" t="s">
        <v>279</v>
      </c>
      <c r="H114" s="46" t="s">
        <v>27</v>
      </c>
      <c r="I114" s="47">
        <f>400*41*2</f>
        <v>32800</v>
      </c>
      <c r="J114" s="48"/>
    </row>
    <row r="115" spans="1:10">
      <c r="A115" s="18"/>
      <c r="B115" s="13"/>
      <c r="C115" s="6"/>
      <c r="D115" s="6"/>
      <c r="E115" s="6"/>
      <c r="F115" s="80"/>
      <c r="G115" s="45" t="s">
        <v>130</v>
      </c>
      <c r="H115" s="46" t="s">
        <v>27</v>
      </c>
      <c r="I115" s="47">
        <v>3000</v>
      </c>
      <c r="J115" s="41"/>
    </row>
    <row r="116" spans="1:10">
      <c r="A116" s="18"/>
      <c r="B116" s="13"/>
      <c r="C116" s="6"/>
      <c r="D116" s="6"/>
      <c r="E116" s="6"/>
      <c r="F116" s="80"/>
      <c r="G116" s="45" t="s">
        <v>172</v>
      </c>
      <c r="H116" s="46" t="s">
        <v>27</v>
      </c>
      <c r="I116" s="47">
        <f>4000*1</f>
        <v>4000</v>
      </c>
      <c r="J116" s="41"/>
    </row>
    <row r="117" spans="1:10">
      <c r="A117" s="18"/>
      <c r="B117" s="13"/>
      <c r="C117" s="6"/>
      <c r="D117" s="6"/>
      <c r="E117" s="6"/>
      <c r="F117" s="80"/>
      <c r="G117" s="45" t="s">
        <v>276</v>
      </c>
      <c r="H117" s="46" t="s">
        <v>27</v>
      </c>
      <c r="I117" s="47">
        <f>400*41</f>
        <v>16400</v>
      </c>
      <c r="J117" s="41"/>
    </row>
    <row r="118" spans="1:10" s="11" customFormat="1">
      <c r="A118" s="110"/>
      <c r="B118" s="111"/>
      <c r="C118" s="112"/>
      <c r="D118" s="112"/>
      <c r="E118" s="112"/>
      <c r="F118" s="113"/>
      <c r="G118" s="45" t="s">
        <v>275</v>
      </c>
      <c r="H118" s="46" t="s">
        <v>27</v>
      </c>
      <c r="I118" s="47">
        <f>400*65</f>
        <v>26000</v>
      </c>
      <c r="J118" s="48"/>
    </row>
    <row r="119" spans="1:10" s="11" customFormat="1">
      <c r="A119" s="110"/>
      <c r="B119" s="111"/>
      <c r="C119" s="112"/>
      <c r="D119" s="112"/>
      <c r="E119" s="112"/>
      <c r="F119" s="113"/>
      <c r="G119" s="45" t="s">
        <v>133</v>
      </c>
      <c r="H119" s="46" t="s">
        <v>27</v>
      </c>
      <c r="I119" s="47">
        <v>1000</v>
      </c>
      <c r="J119" s="48"/>
    </row>
    <row r="120" spans="1:10" s="11" customFormat="1">
      <c r="A120" s="110"/>
      <c r="B120" s="111"/>
      <c r="C120" s="112"/>
      <c r="D120" s="112"/>
      <c r="E120" s="112"/>
      <c r="F120" s="113"/>
      <c r="G120" s="98" t="s">
        <v>123</v>
      </c>
      <c r="H120" s="107"/>
      <c r="I120" s="100">
        <f>SUM(I121:I123)</f>
        <v>14900</v>
      </c>
      <c r="J120" s="53"/>
    </row>
    <row r="121" spans="1:10" s="11" customFormat="1">
      <c r="A121" s="110"/>
      <c r="B121" s="111"/>
      <c r="C121" s="112"/>
      <c r="D121" s="112"/>
      <c r="E121" s="112"/>
      <c r="F121" s="113"/>
      <c r="G121" s="45" t="s">
        <v>277</v>
      </c>
      <c r="H121" s="46" t="s">
        <v>27</v>
      </c>
      <c r="I121" s="47">
        <f>200*24*2</f>
        <v>9600</v>
      </c>
      <c r="J121" s="48"/>
    </row>
    <row r="122" spans="1:10" s="11" customFormat="1">
      <c r="A122" s="110"/>
      <c r="B122" s="111"/>
      <c r="C122" s="112"/>
      <c r="D122" s="112"/>
      <c r="E122" s="112"/>
      <c r="F122" s="113"/>
      <c r="G122" s="45" t="s">
        <v>278</v>
      </c>
      <c r="H122" s="46" t="s">
        <v>27</v>
      </c>
      <c r="I122" s="47">
        <f>200*24</f>
        <v>4800</v>
      </c>
      <c r="J122" s="48"/>
    </row>
    <row r="123" spans="1:10" s="11" customFormat="1">
      <c r="A123" s="110"/>
      <c r="B123" s="111"/>
      <c r="C123" s="112"/>
      <c r="D123" s="112"/>
      <c r="E123" s="112"/>
      <c r="F123" s="113"/>
      <c r="G123" s="45" t="s">
        <v>131</v>
      </c>
      <c r="H123" s="46" t="s">
        <v>27</v>
      </c>
      <c r="I123" s="47">
        <v>500</v>
      </c>
      <c r="J123" s="48"/>
    </row>
    <row r="124" spans="1:10" ht="16.5" customHeight="1">
      <c r="A124" s="18" t="s">
        <v>31</v>
      </c>
      <c r="B124" s="13"/>
      <c r="C124" s="6"/>
      <c r="D124" s="6"/>
      <c r="E124" s="6"/>
      <c r="F124" s="80"/>
      <c r="G124" s="98" t="s">
        <v>94</v>
      </c>
      <c r="H124" s="107"/>
      <c r="I124" s="100">
        <f>SUM(I125:I125)</f>
        <v>4000</v>
      </c>
      <c r="J124" s="44"/>
    </row>
    <row r="125" spans="1:10" s="11" customFormat="1">
      <c r="A125" s="110"/>
      <c r="B125" s="111"/>
      <c r="C125" s="112"/>
      <c r="D125" s="112"/>
      <c r="E125" s="112"/>
      <c r="F125" s="113"/>
      <c r="G125" s="45" t="s">
        <v>132</v>
      </c>
      <c r="H125" s="46" t="s">
        <v>27</v>
      </c>
      <c r="I125" s="47">
        <v>4000</v>
      </c>
      <c r="J125" s="48"/>
    </row>
    <row r="126" spans="1:10">
      <c r="A126" s="18"/>
      <c r="B126" s="13"/>
      <c r="C126" s="6"/>
      <c r="D126" s="6"/>
      <c r="E126" s="6"/>
      <c r="F126" s="80"/>
      <c r="G126" s="98" t="s">
        <v>128</v>
      </c>
      <c r="H126" s="107"/>
      <c r="I126" s="100">
        <f>SUM(I127:I127)</f>
        <v>15000</v>
      </c>
      <c r="J126" s="40"/>
    </row>
    <row r="127" spans="1:10">
      <c r="A127" s="18"/>
      <c r="B127" s="13"/>
      <c r="C127" s="6"/>
      <c r="D127" s="6"/>
      <c r="E127" s="6"/>
      <c r="F127" s="80"/>
      <c r="G127" s="45" t="s">
        <v>282</v>
      </c>
      <c r="H127" s="46" t="s">
        <v>27</v>
      </c>
      <c r="I127" s="47">
        <f>1000*15</f>
        <v>15000</v>
      </c>
      <c r="J127" s="41"/>
    </row>
    <row r="128" spans="1:10">
      <c r="A128" s="18"/>
      <c r="B128" s="13"/>
      <c r="C128" s="6"/>
      <c r="D128" s="6"/>
      <c r="E128" s="6"/>
      <c r="F128" s="80"/>
      <c r="G128" s="98" t="s">
        <v>95</v>
      </c>
      <c r="H128" s="107"/>
      <c r="I128" s="100">
        <f>SUM(I129:I132)</f>
        <v>21200</v>
      </c>
      <c r="J128" s="40"/>
    </row>
    <row r="129" spans="1:12">
      <c r="A129" s="18"/>
      <c r="B129" s="13"/>
      <c r="C129" s="6"/>
      <c r="D129" s="6"/>
      <c r="E129" s="6"/>
      <c r="F129" s="80"/>
      <c r="G129" s="45" t="s">
        <v>283</v>
      </c>
      <c r="H129" s="46" t="s">
        <v>27</v>
      </c>
      <c r="I129" s="47">
        <f>1000*10</f>
        <v>10000</v>
      </c>
      <c r="J129" s="41"/>
    </row>
    <row r="130" spans="1:12">
      <c r="A130" s="18"/>
      <c r="B130" s="13"/>
      <c r="C130" s="6"/>
      <c r="D130" s="6"/>
      <c r="E130" s="6"/>
      <c r="F130" s="80"/>
      <c r="G130" s="45" t="s">
        <v>232</v>
      </c>
      <c r="H130" s="46" t="s">
        <v>27</v>
      </c>
      <c r="I130" s="47">
        <f>800*3</f>
        <v>2400</v>
      </c>
      <c r="J130" s="41"/>
    </row>
    <row r="131" spans="1:12">
      <c r="A131" s="18"/>
      <c r="B131" s="13"/>
      <c r="C131" s="6"/>
      <c r="D131" s="6"/>
      <c r="E131" s="6"/>
      <c r="F131" s="80"/>
      <c r="G131" s="45" t="s">
        <v>233</v>
      </c>
      <c r="H131" s="46" t="s">
        <v>27</v>
      </c>
      <c r="I131" s="47">
        <f>800*1</f>
        <v>800</v>
      </c>
      <c r="J131" s="41"/>
    </row>
    <row r="132" spans="1:12">
      <c r="A132" s="18"/>
      <c r="B132" s="13"/>
      <c r="C132" s="6"/>
      <c r="D132" s="6"/>
      <c r="E132" s="6"/>
      <c r="F132" s="80"/>
      <c r="G132" s="283" t="s">
        <v>234</v>
      </c>
      <c r="H132" s="284" t="s">
        <v>27</v>
      </c>
      <c r="I132" s="285">
        <f>800*10</f>
        <v>8000</v>
      </c>
      <c r="J132" s="295"/>
    </row>
    <row r="133" spans="1:12">
      <c r="A133" s="18"/>
      <c r="B133" s="13"/>
      <c r="C133" s="6"/>
      <c r="D133" s="6"/>
      <c r="E133" s="6"/>
      <c r="F133" s="80"/>
      <c r="G133" s="98" t="s">
        <v>186</v>
      </c>
      <c r="H133" s="46"/>
      <c r="I133" s="290">
        <f>SUM(I134:I134)</f>
        <v>153600</v>
      </c>
      <c r="J133" s="41"/>
    </row>
    <row r="134" spans="1:12" s="11" customFormat="1">
      <c r="A134" s="110"/>
      <c r="B134" s="111"/>
      <c r="C134" s="112"/>
      <c r="D134" s="112"/>
      <c r="E134" s="112"/>
      <c r="F134" s="113"/>
      <c r="G134" s="307" t="s">
        <v>284</v>
      </c>
      <c r="H134" s="46" t="s">
        <v>27</v>
      </c>
      <c r="I134" s="308">
        <f>1200*2*4*16</f>
        <v>153600</v>
      </c>
      <c r="J134" s="48"/>
    </row>
    <row r="135" spans="1:12">
      <c r="A135" s="18"/>
      <c r="B135" s="13"/>
      <c r="C135" s="6"/>
      <c r="D135" s="6"/>
      <c r="E135" s="6"/>
      <c r="F135" s="80"/>
      <c r="G135" s="98" t="s">
        <v>229</v>
      </c>
      <c r="H135" s="107"/>
      <c r="I135" s="100">
        <f>SUM(I136:I138)</f>
        <v>224200</v>
      </c>
      <c r="J135" s="48"/>
      <c r="L135" s="3"/>
    </row>
    <row r="136" spans="1:12">
      <c r="A136" s="18"/>
      <c r="B136" s="13"/>
      <c r="C136" s="6"/>
      <c r="D136" s="6"/>
      <c r="E136" s="6"/>
      <c r="F136" s="80"/>
      <c r="G136" s="45" t="s">
        <v>285</v>
      </c>
      <c r="H136" s="46" t="s">
        <v>27</v>
      </c>
      <c r="I136" s="47">
        <f>600*250</f>
        <v>150000</v>
      </c>
      <c r="J136" s="48"/>
      <c r="L136" s="3"/>
    </row>
    <row r="137" spans="1:12" ht="17.25" customHeight="1">
      <c r="A137" s="18"/>
      <c r="B137" s="13"/>
      <c r="C137" s="6"/>
      <c r="D137" s="6"/>
      <c r="E137" s="6"/>
      <c r="F137" s="80"/>
      <c r="G137" s="342" t="s">
        <v>286</v>
      </c>
      <c r="H137" s="46" t="s">
        <v>230</v>
      </c>
      <c r="I137" s="47">
        <f>660*70</f>
        <v>46200</v>
      </c>
      <c r="J137" s="48"/>
      <c r="L137" s="3"/>
    </row>
    <row r="138" spans="1:12">
      <c r="A138" s="18"/>
      <c r="B138" s="13"/>
      <c r="C138" s="6"/>
      <c r="D138" s="6"/>
      <c r="E138" s="6"/>
      <c r="F138" s="80"/>
      <c r="G138" s="45" t="s">
        <v>231</v>
      </c>
      <c r="H138" s="46" t="s">
        <v>27</v>
      </c>
      <c r="I138" s="47">
        <v>28000</v>
      </c>
      <c r="J138" s="48"/>
      <c r="L138" s="3"/>
    </row>
    <row r="139" spans="1:12" s="11" customFormat="1">
      <c r="A139" s="115" t="s">
        <v>23</v>
      </c>
      <c r="B139" s="116"/>
      <c r="C139" s="117">
        <v>946850</v>
      </c>
      <c r="D139" s="117"/>
      <c r="E139" s="117">
        <f>I139+I143+I149+I151+I156+I159+I161</f>
        <v>1014950</v>
      </c>
      <c r="F139" s="118">
        <f>E139-C139</f>
        <v>68100</v>
      </c>
      <c r="G139" s="98" t="s">
        <v>32</v>
      </c>
      <c r="H139" s="107"/>
      <c r="I139" s="100">
        <f>SUM(I140:I142)</f>
        <v>51650</v>
      </c>
      <c r="J139" s="53"/>
    </row>
    <row r="140" spans="1:12" s="11" customFormat="1">
      <c r="A140" s="110"/>
      <c r="B140" s="111"/>
      <c r="C140" s="237"/>
      <c r="D140" s="237"/>
      <c r="E140" s="237"/>
      <c r="F140" s="237"/>
      <c r="G140" s="45" t="s">
        <v>176</v>
      </c>
      <c r="H140" s="46" t="s">
        <v>27</v>
      </c>
      <c r="I140" s="47">
        <f>550*53</f>
        <v>29150</v>
      </c>
      <c r="J140" s="48"/>
    </row>
    <row r="141" spans="1:12" s="11" customFormat="1">
      <c r="A141" s="110"/>
      <c r="B141" s="111"/>
      <c r="C141" s="112"/>
      <c r="D141" s="112"/>
      <c r="E141" s="112"/>
      <c r="F141" s="113"/>
      <c r="G141" s="45" t="s">
        <v>155</v>
      </c>
      <c r="H141" s="46" t="s">
        <v>27</v>
      </c>
      <c r="I141" s="47">
        <f>500*5</f>
        <v>2500</v>
      </c>
      <c r="J141" s="48"/>
    </row>
    <row r="142" spans="1:12" s="11" customFormat="1">
      <c r="A142" s="110"/>
      <c r="B142" s="111"/>
      <c r="C142" s="112"/>
      <c r="D142" s="112"/>
      <c r="E142" s="112"/>
      <c r="F142" s="113"/>
      <c r="G142" s="45" t="s">
        <v>287</v>
      </c>
      <c r="H142" s="46" t="s">
        <v>27</v>
      </c>
      <c r="I142" s="47">
        <f>2000*10</f>
        <v>20000</v>
      </c>
      <c r="J142" s="48"/>
    </row>
    <row r="143" spans="1:12" s="11" customFormat="1">
      <c r="A143" s="110"/>
      <c r="B143" s="111"/>
      <c r="C143" s="112"/>
      <c r="D143" s="112"/>
      <c r="E143" s="112"/>
      <c r="F143" s="113"/>
      <c r="G143" s="98" t="s">
        <v>33</v>
      </c>
      <c r="H143" s="107"/>
      <c r="I143" s="100">
        <f>SUM(I144:I148)</f>
        <v>266600</v>
      </c>
      <c r="J143" s="53"/>
    </row>
    <row r="144" spans="1:12" s="11" customFormat="1">
      <c r="A144" s="110"/>
      <c r="B144" s="111"/>
      <c r="C144" s="112"/>
      <c r="D144" s="112"/>
      <c r="E144" s="112"/>
      <c r="F144" s="113"/>
      <c r="G144" s="45" t="s">
        <v>320</v>
      </c>
      <c r="H144" s="46" t="s">
        <v>27</v>
      </c>
      <c r="I144" s="47">
        <f>650*2*12</f>
        <v>15600</v>
      </c>
      <c r="J144" s="48"/>
    </row>
    <row r="145" spans="1:10" s="11" customFormat="1">
      <c r="A145" s="110"/>
      <c r="B145" s="111"/>
      <c r="C145" s="112"/>
      <c r="D145" s="112"/>
      <c r="E145" s="112"/>
      <c r="F145" s="113"/>
      <c r="G145" s="45" t="s">
        <v>181</v>
      </c>
      <c r="H145" s="46" t="s">
        <v>27</v>
      </c>
      <c r="I145" s="47">
        <f>3500*2</f>
        <v>7000</v>
      </c>
      <c r="J145" s="48"/>
    </row>
    <row r="146" spans="1:10" s="11" customFormat="1">
      <c r="A146" s="110"/>
      <c r="B146" s="111"/>
      <c r="C146" s="112"/>
      <c r="D146" s="112"/>
      <c r="E146" s="112"/>
      <c r="F146" s="113"/>
      <c r="G146" s="45" t="s">
        <v>288</v>
      </c>
      <c r="H146" s="46" t="s">
        <v>27</v>
      </c>
      <c r="I146" s="47">
        <f>5000*2</f>
        <v>10000</v>
      </c>
      <c r="J146" s="48"/>
    </row>
    <row r="147" spans="1:10" s="11" customFormat="1">
      <c r="A147" s="110"/>
      <c r="B147" s="111"/>
      <c r="C147" s="112"/>
      <c r="D147" s="112"/>
      <c r="E147" s="112"/>
      <c r="F147" s="113"/>
      <c r="G147" s="45" t="s">
        <v>289</v>
      </c>
      <c r="H147" s="46" t="s">
        <v>27</v>
      </c>
      <c r="I147" s="47">
        <f>2*45000</f>
        <v>90000</v>
      </c>
      <c r="J147" s="48"/>
    </row>
    <row r="148" spans="1:10" s="11" customFormat="1">
      <c r="A148" s="110"/>
      <c r="B148" s="111"/>
      <c r="C148" s="112"/>
      <c r="D148" s="112"/>
      <c r="E148" s="112"/>
      <c r="F148" s="113"/>
      <c r="G148" s="49" t="s">
        <v>321</v>
      </c>
      <c r="H148" s="50" t="s">
        <v>27</v>
      </c>
      <c r="I148" s="51">
        <f>9000*16</f>
        <v>144000</v>
      </c>
      <c r="J148" s="52"/>
    </row>
    <row r="149" spans="1:10" s="11" customFormat="1" ht="15.75" customHeight="1">
      <c r="A149" s="110"/>
      <c r="B149" s="111"/>
      <c r="C149" s="112"/>
      <c r="D149" s="112"/>
      <c r="E149" s="112"/>
      <c r="F149" s="113"/>
      <c r="G149" s="98" t="s">
        <v>110</v>
      </c>
      <c r="H149" s="107"/>
      <c r="I149" s="100">
        <f>SUM(I150:I150)</f>
        <v>236600</v>
      </c>
      <c r="J149" s="53"/>
    </row>
    <row r="150" spans="1:10">
      <c r="A150" s="18"/>
      <c r="B150" s="13"/>
      <c r="C150" s="6"/>
      <c r="D150" s="6"/>
      <c r="E150" s="6"/>
      <c r="F150" s="80"/>
      <c r="G150" s="45" t="s">
        <v>290</v>
      </c>
      <c r="H150" s="46" t="s">
        <v>27</v>
      </c>
      <c r="I150" s="47">
        <f>20*182*65</f>
        <v>236600</v>
      </c>
      <c r="J150" s="41"/>
    </row>
    <row r="151" spans="1:10">
      <c r="A151" s="18"/>
      <c r="B151" s="13"/>
      <c r="C151" s="6"/>
      <c r="D151" s="6"/>
      <c r="E151" s="6"/>
      <c r="F151" s="80"/>
      <c r="G151" s="327" t="s">
        <v>99</v>
      </c>
      <c r="H151" s="334"/>
      <c r="I151" s="329">
        <f>SUM(I152:I155)</f>
        <v>271400</v>
      </c>
      <c r="J151" s="40"/>
    </row>
    <row r="152" spans="1:10">
      <c r="A152" s="18"/>
      <c r="B152" s="13"/>
      <c r="C152" s="6"/>
      <c r="D152" s="6"/>
      <c r="E152" s="6"/>
      <c r="F152" s="80"/>
      <c r="G152" s="307" t="s">
        <v>188</v>
      </c>
      <c r="H152" s="321" t="s">
        <v>27</v>
      </c>
      <c r="I152" s="308">
        <f>40000*2</f>
        <v>80000</v>
      </c>
      <c r="J152" s="41"/>
    </row>
    <row r="153" spans="1:10">
      <c r="A153" s="18"/>
      <c r="B153" s="13"/>
      <c r="C153" s="6"/>
      <c r="D153" s="6"/>
      <c r="E153" s="6"/>
      <c r="F153" s="80"/>
      <c r="G153" s="307" t="s">
        <v>190</v>
      </c>
      <c r="H153" s="321" t="s">
        <v>27</v>
      </c>
      <c r="I153" s="308">
        <f>15000*2</f>
        <v>30000</v>
      </c>
      <c r="J153" s="41"/>
    </row>
    <row r="154" spans="1:10">
      <c r="A154" s="18"/>
      <c r="B154" s="13"/>
      <c r="C154" s="6"/>
      <c r="D154" s="6"/>
      <c r="E154" s="6"/>
      <c r="F154" s="80"/>
      <c r="G154" s="307" t="s">
        <v>204</v>
      </c>
      <c r="H154" s="321" t="s">
        <v>27</v>
      </c>
      <c r="I154" s="308">
        <f>7000*3</f>
        <v>21000</v>
      </c>
      <c r="J154" s="41"/>
    </row>
    <row r="155" spans="1:10">
      <c r="A155" s="18"/>
      <c r="B155" s="13"/>
      <c r="C155" s="6"/>
      <c r="D155" s="6"/>
      <c r="E155" s="6"/>
      <c r="F155" s="80"/>
      <c r="G155" s="283" t="s">
        <v>189</v>
      </c>
      <c r="H155" s="284" t="s">
        <v>27</v>
      </c>
      <c r="I155" s="285">
        <f>15600*9</f>
        <v>140400</v>
      </c>
      <c r="J155" s="295"/>
    </row>
    <row r="156" spans="1:10">
      <c r="A156" s="54"/>
      <c r="B156" s="13"/>
      <c r="C156" s="6"/>
      <c r="D156" s="6"/>
      <c r="E156" s="6"/>
      <c r="F156" s="124"/>
      <c r="G156" s="101" t="s">
        <v>183</v>
      </c>
      <c r="H156" s="286"/>
      <c r="I156" s="296">
        <f>SUM(I157:I158)</f>
        <v>38700</v>
      </c>
      <c r="J156" s="297"/>
    </row>
    <row r="157" spans="1:10">
      <c r="A157" s="54"/>
      <c r="B157" s="13"/>
      <c r="C157" s="6"/>
      <c r="D157" s="6"/>
      <c r="E157" s="6"/>
      <c r="F157" s="124"/>
      <c r="G157" s="104" t="s">
        <v>322</v>
      </c>
      <c r="H157" s="46" t="s">
        <v>236</v>
      </c>
      <c r="I157" s="345">
        <v>11700</v>
      </c>
      <c r="J157" s="344"/>
    </row>
    <row r="158" spans="1:10">
      <c r="A158" s="54"/>
      <c r="B158" s="13"/>
      <c r="C158" s="6"/>
      <c r="D158" s="6"/>
      <c r="E158" s="6"/>
      <c r="F158" s="124"/>
      <c r="G158" s="106" t="s">
        <v>193</v>
      </c>
      <c r="H158" s="284" t="s">
        <v>27</v>
      </c>
      <c r="I158" s="287">
        <f>750*1*12*3</f>
        <v>27000</v>
      </c>
      <c r="J158" s="298"/>
    </row>
    <row r="159" spans="1:10" s="11" customFormat="1">
      <c r="A159" s="114"/>
      <c r="B159" s="111"/>
      <c r="C159" s="112"/>
      <c r="D159" s="112"/>
      <c r="E159" s="112"/>
      <c r="F159" s="125"/>
      <c r="G159" s="126" t="s">
        <v>191</v>
      </c>
      <c r="H159" s="288"/>
      <c r="I159" s="310">
        <f>I160</f>
        <v>150000</v>
      </c>
      <c r="J159" s="127"/>
    </row>
    <row r="160" spans="1:10" s="11" customFormat="1">
      <c r="A160" s="114"/>
      <c r="B160" s="111"/>
      <c r="C160" s="112"/>
      <c r="D160" s="112"/>
      <c r="E160" s="112"/>
      <c r="F160" s="125"/>
      <c r="G160" s="309" t="s">
        <v>291</v>
      </c>
      <c r="H160" s="284" t="s">
        <v>27</v>
      </c>
      <c r="I160" s="287">
        <v>150000</v>
      </c>
      <c r="J160" s="48"/>
    </row>
    <row r="161" spans="1:10">
      <c r="A161" s="54"/>
      <c r="B161" s="13"/>
      <c r="C161" s="6"/>
      <c r="D161" s="6"/>
      <c r="E161" s="6"/>
      <c r="F161" s="80"/>
      <c r="G161" s="108" t="s">
        <v>192</v>
      </c>
      <c r="H161" s="109"/>
      <c r="I161" s="132">
        <v>0</v>
      </c>
      <c r="J161" s="40"/>
    </row>
    <row r="162" spans="1:10" s="10" customFormat="1" ht="16.5" customHeight="1">
      <c r="A162" s="88"/>
      <c r="B162" s="420" t="s">
        <v>77</v>
      </c>
      <c r="C162" s="5">
        <v>83000</v>
      </c>
      <c r="D162" s="5"/>
      <c r="E162" s="5">
        <f>SUM(I162)</f>
        <v>83000</v>
      </c>
      <c r="F162" s="118">
        <f>E162-C162</f>
        <v>0</v>
      </c>
      <c r="G162" s="98" t="s">
        <v>106</v>
      </c>
      <c r="H162" s="107"/>
      <c r="I162" s="100">
        <f>SUM(I163:I164)</f>
        <v>83000</v>
      </c>
      <c r="J162" s="81"/>
    </row>
    <row r="163" spans="1:10" s="10" customFormat="1" ht="16.5" customHeight="1">
      <c r="A163" s="88"/>
      <c r="B163" s="421"/>
      <c r="C163" s="237"/>
      <c r="D163" s="237"/>
      <c r="E163" s="237"/>
      <c r="F163" s="237"/>
      <c r="G163" s="45" t="s">
        <v>179</v>
      </c>
      <c r="H163" s="46" t="s">
        <v>27</v>
      </c>
      <c r="I163" s="47">
        <f>1500*2</f>
        <v>3000</v>
      </c>
      <c r="J163" s="82"/>
    </row>
    <row r="164" spans="1:10" ht="17.25" customHeight="1" thickBot="1">
      <c r="A164" s="54"/>
      <c r="B164" s="422"/>
      <c r="C164" s="6"/>
      <c r="D164" s="6"/>
      <c r="E164" s="6"/>
      <c r="F164" s="80"/>
      <c r="G164" s="45" t="s">
        <v>292</v>
      </c>
      <c r="H164" s="46" t="s">
        <v>27</v>
      </c>
      <c r="I164" s="47">
        <f>500*20*8</f>
        <v>80000</v>
      </c>
      <c r="J164" s="77"/>
    </row>
    <row r="165" spans="1:10" ht="16.5" customHeight="1">
      <c r="A165" s="416" t="s">
        <v>24</v>
      </c>
      <c r="B165" s="417"/>
      <c r="C165" s="201">
        <f>C167</f>
        <v>20000</v>
      </c>
      <c r="D165" s="201">
        <v>0</v>
      </c>
      <c r="E165" s="201">
        <f>E167</f>
        <v>20000</v>
      </c>
      <c r="F165" s="201">
        <f>E165-C165</f>
        <v>0</v>
      </c>
      <c r="G165" s="194"/>
      <c r="H165" s="195" t="s">
        <v>27</v>
      </c>
      <c r="I165" s="196"/>
      <c r="J165" s="197"/>
    </row>
    <row r="166" spans="1:10" ht="16.5" customHeight="1">
      <c r="A166" s="186"/>
      <c r="B166" s="200"/>
      <c r="C166" s="238"/>
      <c r="D166" s="233"/>
      <c r="E166" s="238"/>
      <c r="F166" s="238"/>
      <c r="G166" s="188"/>
      <c r="H166" s="189"/>
      <c r="I166" s="190"/>
      <c r="J166" s="191"/>
    </row>
    <row r="167" spans="1:10" ht="16.5" customHeight="1">
      <c r="A167" s="17"/>
      <c r="B167" s="16" t="s">
        <v>45</v>
      </c>
      <c r="C167" s="293">
        <v>20000</v>
      </c>
      <c r="D167" s="138"/>
      <c r="E167" s="138">
        <f>I167</f>
        <v>20000</v>
      </c>
      <c r="F167" s="118">
        <f>E167-C167</f>
        <v>0</v>
      </c>
      <c r="G167" s="38" t="s">
        <v>93</v>
      </c>
      <c r="H167" s="43"/>
      <c r="I167" s="39">
        <f>SUM(I168)</f>
        <v>20000</v>
      </c>
      <c r="J167" s="40"/>
    </row>
    <row r="168" spans="1:10" ht="16.5" customHeight="1" thickBot="1">
      <c r="A168" s="15"/>
      <c r="B168" s="136"/>
      <c r="C168" s="237"/>
      <c r="D168" s="235"/>
      <c r="E168" s="237"/>
      <c r="F168" s="237"/>
      <c r="G168" s="45" t="s">
        <v>224</v>
      </c>
      <c r="H168" s="46" t="s">
        <v>27</v>
      </c>
      <c r="I168" s="47">
        <f>5000*4</f>
        <v>20000</v>
      </c>
      <c r="J168" s="41"/>
    </row>
    <row r="169" spans="1:10" ht="16.5" customHeight="1">
      <c r="A169" s="416" t="s">
        <v>14</v>
      </c>
      <c r="B169" s="417"/>
      <c r="C169" s="201">
        <f>SUM(C171)</f>
        <v>1476184</v>
      </c>
      <c r="D169" s="201">
        <v>0</v>
      </c>
      <c r="E169" s="201">
        <f>SUM(E171)</f>
        <v>1855534</v>
      </c>
      <c r="F169" s="201">
        <f>E169-C169</f>
        <v>379350</v>
      </c>
      <c r="G169" s="194"/>
      <c r="H169" s="195" t="s">
        <v>27</v>
      </c>
      <c r="I169" s="196"/>
      <c r="J169" s="197"/>
    </row>
    <row r="170" spans="1:10" ht="16.5" customHeight="1">
      <c r="A170" s="186"/>
      <c r="B170" s="200"/>
      <c r="C170" s="238"/>
      <c r="D170" s="235"/>
      <c r="E170" s="238"/>
      <c r="F170" s="238"/>
      <c r="G170" s="188"/>
      <c r="H170" s="189"/>
      <c r="I170" s="190"/>
      <c r="J170" s="191"/>
    </row>
    <row r="171" spans="1:10" ht="16.5" customHeight="1">
      <c r="A171" s="17"/>
      <c r="B171" s="137" t="s">
        <v>46</v>
      </c>
      <c r="C171" s="5">
        <v>1476184</v>
      </c>
      <c r="D171" s="5"/>
      <c r="E171" s="5">
        <f>I171</f>
        <v>1855534</v>
      </c>
      <c r="F171" s="79">
        <f>E171-C171</f>
        <v>379350</v>
      </c>
      <c r="G171" s="38" t="s">
        <v>92</v>
      </c>
      <c r="H171" s="43"/>
      <c r="I171" s="39">
        <f>SUM(I172:I173)</f>
        <v>1855534</v>
      </c>
      <c r="J171" s="40"/>
    </row>
    <row r="172" spans="1:10" ht="16.5" customHeight="1">
      <c r="A172" s="15"/>
      <c r="B172" s="136"/>
      <c r="C172" s="6"/>
      <c r="D172" s="6"/>
      <c r="E172" s="6"/>
      <c r="F172" s="80"/>
      <c r="G172" s="368" t="s">
        <v>330</v>
      </c>
      <c r="H172" s="321" t="s">
        <v>27</v>
      </c>
      <c r="I172" s="369">
        <v>432000</v>
      </c>
      <c r="J172" s="41"/>
    </row>
    <row r="173" spans="1:10" ht="16.5" customHeight="1" thickBot="1">
      <c r="A173" s="15"/>
      <c r="B173" s="136"/>
      <c r="C173" s="237"/>
      <c r="D173" s="6"/>
      <c r="E173" s="237"/>
      <c r="F173" s="237"/>
      <c r="G173" s="307" t="s">
        <v>329</v>
      </c>
      <c r="H173" s="321" t="s">
        <v>27</v>
      </c>
      <c r="I173" s="308">
        <v>1423534</v>
      </c>
      <c r="J173" s="41"/>
    </row>
    <row r="174" spans="1:10" ht="16.5" customHeight="1">
      <c r="A174" s="412" t="s">
        <v>12</v>
      </c>
      <c r="B174" s="413"/>
      <c r="C174" s="192">
        <f>SUM(C176,C183,C185,C194,C201)</f>
        <v>2391660</v>
      </c>
      <c r="D174" s="192">
        <v>0</v>
      </c>
      <c r="E174" s="192">
        <f>SUM(E176,E183,E185,E194,E201)</f>
        <v>1993534</v>
      </c>
      <c r="F174" s="193">
        <f>E174-C174</f>
        <v>-398126</v>
      </c>
      <c r="G174" s="194"/>
      <c r="H174" s="195" t="s">
        <v>27</v>
      </c>
      <c r="I174" s="196"/>
      <c r="J174" s="197"/>
    </row>
    <row r="175" spans="1:10" ht="16.5" customHeight="1">
      <c r="A175" s="198"/>
      <c r="B175" s="199"/>
      <c r="C175" s="238"/>
      <c r="D175" s="238"/>
      <c r="E175" s="238"/>
      <c r="F175" s="238"/>
      <c r="G175" s="188"/>
      <c r="H175" s="189"/>
      <c r="I175" s="190"/>
      <c r="J175" s="191"/>
    </row>
    <row r="176" spans="1:10" ht="16.5" customHeight="1">
      <c r="A176" s="17"/>
      <c r="B176" s="16" t="s">
        <v>47</v>
      </c>
      <c r="C176" s="5">
        <v>95000</v>
      </c>
      <c r="D176" s="5"/>
      <c r="E176" s="5">
        <f>SUM(I176,I178,I181)</f>
        <v>7224</v>
      </c>
      <c r="F176" s="79">
        <f>E176-C176</f>
        <v>-87776</v>
      </c>
      <c r="G176" s="98" t="s">
        <v>126</v>
      </c>
      <c r="H176" s="107"/>
      <c r="I176" s="100">
        <f>SUM(I177:I177)</f>
        <v>0</v>
      </c>
      <c r="J176" s="40"/>
    </row>
    <row r="177" spans="1:10" ht="16.5" customHeight="1">
      <c r="A177" s="18"/>
      <c r="B177" s="13"/>
      <c r="C177" s="237"/>
      <c r="D177" s="235"/>
      <c r="E177" s="237"/>
      <c r="F177" s="237"/>
      <c r="G177" s="45" t="s">
        <v>324</v>
      </c>
      <c r="H177" s="46" t="s">
        <v>27</v>
      </c>
      <c r="I177" s="47">
        <v>0</v>
      </c>
      <c r="J177" s="41"/>
    </row>
    <row r="178" spans="1:10" ht="16.5" customHeight="1">
      <c r="A178" s="18"/>
      <c r="B178" s="13"/>
      <c r="C178" s="6"/>
      <c r="D178" s="6"/>
      <c r="E178" s="6"/>
      <c r="F178" s="80"/>
      <c r="G178" s="98" t="s">
        <v>127</v>
      </c>
      <c r="H178" s="107"/>
      <c r="I178" s="100">
        <f>SUM(I179:I180)</f>
        <v>7224</v>
      </c>
      <c r="J178" s="53"/>
    </row>
    <row r="179" spans="1:10" ht="16.5" customHeight="1">
      <c r="A179" s="18"/>
      <c r="B179" s="13"/>
      <c r="C179" s="6"/>
      <c r="D179" s="6"/>
      <c r="E179" s="6"/>
      <c r="F179" s="80"/>
      <c r="G179" s="45" t="s">
        <v>325</v>
      </c>
      <c r="H179" s="46" t="s">
        <v>235</v>
      </c>
      <c r="I179" s="47">
        <f>301*24*1</f>
        <v>7224</v>
      </c>
      <c r="J179" s="48"/>
    </row>
    <row r="180" spans="1:10" ht="16.5" customHeight="1">
      <c r="A180" s="18"/>
      <c r="B180" s="13"/>
      <c r="C180" s="6"/>
      <c r="D180" s="6"/>
      <c r="E180" s="6"/>
      <c r="F180" s="80"/>
      <c r="G180" s="45"/>
      <c r="H180" s="46"/>
      <c r="I180" s="47"/>
      <c r="J180" s="48"/>
    </row>
    <row r="181" spans="1:10" ht="16.5" customHeight="1">
      <c r="A181" s="18"/>
      <c r="B181" s="13"/>
      <c r="C181" s="6"/>
      <c r="D181" s="6"/>
      <c r="E181" s="6"/>
      <c r="F181" s="80"/>
      <c r="G181" s="98" t="s">
        <v>134</v>
      </c>
      <c r="H181" s="107"/>
      <c r="I181" s="100">
        <f>SUM(I182:I182)</f>
        <v>0</v>
      </c>
      <c r="J181" s="40"/>
    </row>
    <row r="182" spans="1:10" ht="16.5" customHeight="1">
      <c r="A182" s="18"/>
      <c r="B182" s="13"/>
      <c r="C182" s="6"/>
      <c r="D182" s="6"/>
      <c r="E182" s="6"/>
      <c r="F182" s="80"/>
      <c r="G182" s="45" t="s">
        <v>328</v>
      </c>
      <c r="H182" s="46" t="s">
        <v>27</v>
      </c>
      <c r="I182" s="47">
        <v>0</v>
      </c>
      <c r="J182" s="41"/>
    </row>
    <row r="183" spans="1:10" s="122" customFormat="1" ht="16.5" customHeight="1">
      <c r="A183" s="121"/>
      <c r="B183" s="205" t="s">
        <v>80</v>
      </c>
      <c r="C183" s="230">
        <v>0</v>
      </c>
      <c r="D183" s="230">
        <v>0</v>
      </c>
      <c r="E183" s="230">
        <v>0</v>
      </c>
      <c r="F183" s="79">
        <f>E183-C183</f>
        <v>0</v>
      </c>
      <c r="G183" s="98" t="s">
        <v>35</v>
      </c>
      <c r="H183" s="107"/>
      <c r="I183" s="202">
        <v>0</v>
      </c>
      <c r="J183" s="123"/>
    </row>
    <row r="184" spans="1:10" s="122" customFormat="1" ht="16.5" customHeight="1">
      <c r="A184" s="121"/>
      <c r="B184" s="203"/>
      <c r="C184" s="237"/>
      <c r="D184" s="237"/>
      <c r="E184" s="237"/>
      <c r="F184" s="237"/>
      <c r="G184" s="108"/>
      <c r="H184" s="109"/>
      <c r="I184" s="132"/>
      <c r="J184" s="204"/>
    </row>
    <row r="185" spans="1:10" ht="16.5" customHeight="1">
      <c r="A185" s="19"/>
      <c r="B185" s="16" t="s">
        <v>48</v>
      </c>
      <c r="C185" s="5">
        <v>1419360</v>
      </c>
      <c r="D185" s="5"/>
      <c r="E185" s="5">
        <f>SUM(I185,I187,I192,I190)</f>
        <v>1109010</v>
      </c>
      <c r="F185" s="79">
        <f>E185-C185</f>
        <v>-310350</v>
      </c>
      <c r="G185" s="98" t="s">
        <v>111</v>
      </c>
      <c r="H185" s="107"/>
      <c r="I185" s="100">
        <f>SUM(I186)</f>
        <v>296050</v>
      </c>
      <c r="J185" s="44"/>
    </row>
    <row r="186" spans="1:10">
      <c r="A186" s="18"/>
      <c r="B186" s="13"/>
      <c r="C186" s="237"/>
      <c r="D186" s="237"/>
      <c r="E186" s="237"/>
      <c r="F186" s="237"/>
      <c r="G186" s="49" t="s">
        <v>336</v>
      </c>
      <c r="H186" s="50" t="s">
        <v>27</v>
      </c>
      <c r="I186" s="51">
        <f>10000*30-3950</f>
        <v>296050</v>
      </c>
      <c r="J186" s="42"/>
    </row>
    <row r="187" spans="1:10">
      <c r="A187" s="18"/>
      <c r="B187" s="13"/>
      <c r="C187" s="6"/>
      <c r="D187" s="6"/>
      <c r="E187" s="6"/>
      <c r="F187" s="80"/>
      <c r="G187" s="98" t="s">
        <v>135</v>
      </c>
      <c r="H187" s="107"/>
      <c r="I187" s="100">
        <f>SUM(I188:I189)</f>
        <v>705600</v>
      </c>
      <c r="J187" s="40"/>
    </row>
    <row r="188" spans="1:10">
      <c r="A188" s="18"/>
      <c r="B188" s="13"/>
      <c r="C188" s="6"/>
      <c r="D188" s="6"/>
      <c r="E188" s="6"/>
      <c r="F188" s="80"/>
      <c r="G188" s="45" t="s">
        <v>326</v>
      </c>
      <c r="H188" s="46" t="s">
        <v>27</v>
      </c>
      <c r="I188" s="47">
        <f>400*6*147</f>
        <v>352800</v>
      </c>
      <c r="J188" s="41"/>
    </row>
    <row r="189" spans="1:10" s="11" customFormat="1">
      <c r="A189" s="110"/>
      <c r="B189" s="111"/>
      <c r="C189" s="112"/>
      <c r="D189" s="112"/>
      <c r="E189" s="112"/>
      <c r="F189" s="113"/>
      <c r="G189" s="45" t="s">
        <v>327</v>
      </c>
      <c r="H189" s="46" t="s">
        <v>215</v>
      </c>
      <c r="I189" s="47">
        <f>400*6*147</f>
        <v>352800</v>
      </c>
      <c r="J189" s="48"/>
    </row>
    <row r="190" spans="1:10">
      <c r="A190" s="18"/>
      <c r="B190" s="13"/>
      <c r="C190" s="6"/>
      <c r="D190" s="6"/>
      <c r="E190" s="6"/>
      <c r="F190" s="124"/>
      <c r="G190" s="101" t="s">
        <v>158</v>
      </c>
      <c r="H190" s="286"/>
      <c r="I190" s="296">
        <f>I191</f>
        <v>20000</v>
      </c>
      <c r="J190" s="297"/>
    </row>
    <row r="191" spans="1:10">
      <c r="A191" s="18"/>
      <c r="B191" s="13"/>
      <c r="C191" s="6"/>
      <c r="D191" s="6"/>
      <c r="E191" s="6"/>
      <c r="F191" s="124"/>
      <c r="G191" s="106" t="s">
        <v>300</v>
      </c>
      <c r="H191" s="284" t="s">
        <v>215</v>
      </c>
      <c r="I191" s="97">
        <v>20000</v>
      </c>
      <c r="J191" s="298"/>
    </row>
    <row r="192" spans="1:10">
      <c r="A192" s="18"/>
      <c r="B192" s="13"/>
      <c r="C192" s="6"/>
      <c r="D192" s="6"/>
      <c r="E192" s="6"/>
      <c r="F192" s="80"/>
      <c r="G192" s="108" t="s">
        <v>296</v>
      </c>
      <c r="H192" s="46"/>
      <c r="I192" s="290">
        <f>SUM(I193:I193)</f>
        <v>87360</v>
      </c>
      <c r="J192" s="41"/>
    </row>
    <row r="193" spans="1:12">
      <c r="A193" s="18"/>
      <c r="B193" s="13"/>
      <c r="C193" s="6"/>
      <c r="D193" s="6"/>
      <c r="E193" s="6"/>
      <c r="F193" s="80"/>
      <c r="G193" s="104" t="s">
        <v>297</v>
      </c>
      <c r="H193" s="95" t="s">
        <v>27</v>
      </c>
      <c r="I193" s="105">
        <v>87360</v>
      </c>
      <c r="J193" s="57"/>
    </row>
    <row r="194" spans="1:12" ht="16.5" customHeight="1">
      <c r="A194" s="19"/>
      <c r="B194" s="414" t="s">
        <v>49</v>
      </c>
      <c r="C194" s="5">
        <v>345600</v>
      </c>
      <c r="D194" s="5"/>
      <c r="E194" s="5">
        <f>SUM(I194,I198)</f>
        <v>345600</v>
      </c>
      <c r="F194" s="79">
        <f>E194-C194</f>
        <v>0</v>
      </c>
      <c r="G194" s="98" t="s">
        <v>90</v>
      </c>
      <c r="H194" s="107"/>
      <c r="I194" s="100">
        <f>I195+I196+I197</f>
        <v>153600</v>
      </c>
      <c r="J194" s="53"/>
    </row>
    <row r="195" spans="1:12">
      <c r="A195" s="24"/>
      <c r="B195" s="415"/>
      <c r="C195" s="237"/>
      <c r="D195" s="237"/>
      <c r="E195" s="237"/>
      <c r="F195" s="237"/>
      <c r="G195" s="45" t="s">
        <v>197</v>
      </c>
      <c r="H195" s="46" t="s">
        <v>27</v>
      </c>
      <c r="I195" s="47">
        <v>137480</v>
      </c>
      <c r="J195" s="48"/>
    </row>
    <row r="196" spans="1:12">
      <c r="A196" s="18"/>
      <c r="B196" s="13"/>
      <c r="C196" s="6"/>
      <c r="D196" s="6"/>
      <c r="E196" s="6"/>
      <c r="F196" s="80"/>
      <c r="G196" s="45" t="s">
        <v>199</v>
      </c>
      <c r="H196" s="46" t="s">
        <v>27</v>
      </c>
      <c r="I196" s="47">
        <v>8120</v>
      </c>
      <c r="J196" s="48"/>
      <c r="L196" s="3"/>
    </row>
    <row r="197" spans="1:12">
      <c r="A197" s="18"/>
      <c r="B197" s="13"/>
      <c r="C197" s="6"/>
      <c r="D197" s="6"/>
      <c r="E197" s="6"/>
      <c r="F197" s="80"/>
      <c r="G197" s="45" t="s">
        <v>198</v>
      </c>
      <c r="H197" s="46" t="s">
        <v>27</v>
      </c>
      <c r="I197" s="47">
        <f>800*10</f>
        <v>8000</v>
      </c>
      <c r="J197" s="48"/>
      <c r="L197" s="3"/>
    </row>
    <row r="198" spans="1:12">
      <c r="A198" s="18"/>
      <c r="B198" s="13"/>
      <c r="C198" s="6"/>
      <c r="D198" s="6"/>
      <c r="E198" s="6"/>
      <c r="F198" s="80"/>
      <c r="G198" s="98" t="s">
        <v>226</v>
      </c>
      <c r="H198" s="107"/>
      <c r="I198" s="100">
        <f>SUM(I199:I200)</f>
        <v>192000</v>
      </c>
      <c r="J198" s="40"/>
      <c r="L198" s="3"/>
    </row>
    <row r="199" spans="1:12">
      <c r="A199" s="18"/>
      <c r="B199" s="13"/>
      <c r="C199" s="6"/>
      <c r="D199" s="6"/>
      <c r="E199" s="6"/>
      <c r="F199" s="80"/>
      <c r="G199" s="45" t="s">
        <v>203</v>
      </c>
      <c r="H199" s="46" t="s">
        <v>27</v>
      </c>
      <c r="I199" s="47">
        <v>24000</v>
      </c>
      <c r="J199" s="41"/>
      <c r="L199" s="3"/>
    </row>
    <row r="200" spans="1:12">
      <c r="A200" s="18"/>
      <c r="B200" s="13"/>
      <c r="C200" s="6"/>
      <c r="D200" s="6"/>
      <c r="E200" s="6"/>
      <c r="F200" s="80"/>
      <c r="G200" s="45" t="s">
        <v>227</v>
      </c>
      <c r="H200" s="46" t="s">
        <v>27</v>
      </c>
      <c r="I200" s="47">
        <f>14000*12</f>
        <v>168000</v>
      </c>
      <c r="J200" s="41"/>
      <c r="L200" s="3"/>
    </row>
    <row r="201" spans="1:12" ht="25.5" customHeight="1">
      <c r="A201" s="19"/>
      <c r="B201" s="341" t="s">
        <v>220</v>
      </c>
      <c r="C201" s="5">
        <v>531700</v>
      </c>
      <c r="D201" s="5"/>
      <c r="E201" s="5">
        <f>SUM(I201,I204,I206)</f>
        <v>531700</v>
      </c>
      <c r="F201" s="79">
        <f>E201-C201</f>
        <v>0</v>
      </c>
      <c r="G201" s="98" t="s">
        <v>36</v>
      </c>
      <c r="H201" s="282"/>
      <c r="I201" s="100">
        <f>SUM(I202:I203)</f>
        <v>509600</v>
      </c>
      <c r="J201" s="40"/>
    </row>
    <row r="202" spans="1:12" ht="28.5" customHeight="1">
      <c r="A202" s="18"/>
      <c r="B202" s="13"/>
      <c r="C202" s="237"/>
      <c r="D202" s="237"/>
      <c r="E202" s="237"/>
      <c r="F202" s="237"/>
      <c r="G202" s="342" t="s">
        <v>342</v>
      </c>
      <c r="H202" s="46" t="s">
        <v>27</v>
      </c>
      <c r="I202" s="47">
        <f>335*1*5*130</f>
        <v>217750</v>
      </c>
      <c r="J202" s="41"/>
    </row>
    <row r="203" spans="1:12" ht="28.5" customHeight="1">
      <c r="A203" s="18"/>
      <c r="B203" s="13"/>
      <c r="C203" s="6"/>
      <c r="D203" s="6"/>
      <c r="E203" s="6"/>
      <c r="F203" s="80"/>
      <c r="G203" s="340" t="s">
        <v>343</v>
      </c>
      <c r="H203" s="321" t="s">
        <v>27</v>
      </c>
      <c r="I203" s="308">
        <f>435*130*5+9100</f>
        <v>291850</v>
      </c>
      <c r="J203" s="41"/>
      <c r="L203" s="303"/>
    </row>
    <row r="204" spans="1:12">
      <c r="A204" s="18"/>
      <c r="B204" s="13"/>
      <c r="C204" s="6"/>
      <c r="D204" s="6"/>
      <c r="E204" s="6"/>
      <c r="F204" s="80"/>
      <c r="G204" s="98" t="s">
        <v>124</v>
      </c>
      <c r="H204" s="107"/>
      <c r="I204" s="100">
        <f>SUM(I205:I205)</f>
        <v>5100</v>
      </c>
      <c r="J204" s="40"/>
    </row>
    <row r="205" spans="1:12">
      <c r="A205" s="18"/>
      <c r="B205" s="13"/>
      <c r="C205" s="6"/>
      <c r="D205" s="6"/>
      <c r="E205" s="6"/>
      <c r="F205" s="80"/>
      <c r="G205" s="45" t="s">
        <v>299</v>
      </c>
      <c r="H205" s="46" t="s">
        <v>27</v>
      </c>
      <c r="I205" s="47">
        <f>1700*3</f>
        <v>5100</v>
      </c>
      <c r="J205" s="41"/>
    </row>
    <row r="206" spans="1:12">
      <c r="A206" s="18"/>
      <c r="B206" s="13"/>
      <c r="C206" s="6"/>
      <c r="D206" s="6"/>
      <c r="E206" s="6"/>
      <c r="F206" s="80"/>
      <c r="G206" s="98" t="s">
        <v>125</v>
      </c>
      <c r="H206" s="107"/>
      <c r="I206" s="100">
        <f>SUM(I207:I207)</f>
        <v>17000</v>
      </c>
      <c r="J206" s="40"/>
    </row>
    <row r="207" spans="1:12" ht="17.25" thickBot="1">
      <c r="A207" s="18"/>
      <c r="B207" s="13"/>
      <c r="C207" s="6"/>
      <c r="D207" s="6"/>
      <c r="E207" s="6"/>
      <c r="F207" s="80"/>
      <c r="G207" s="45" t="s">
        <v>298</v>
      </c>
      <c r="H207" s="46" t="s">
        <v>27</v>
      </c>
      <c r="I207" s="47">
        <f>10*1700</f>
        <v>17000</v>
      </c>
      <c r="J207" s="41"/>
    </row>
    <row r="208" spans="1:12" ht="16.5" customHeight="1">
      <c r="A208" s="412" t="s">
        <v>25</v>
      </c>
      <c r="B208" s="413"/>
      <c r="C208" s="232">
        <v>0</v>
      </c>
      <c r="D208" s="232">
        <v>0</v>
      </c>
      <c r="E208" s="305">
        <f>I208</f>
        <v>0</v>
      </c>
      <c r="F208" s="232">
        <v>0</v>
      </c>
      <c r="G208" s="194"/>
      <c r="H208" s="195" t="s">
        <v>27</v>
      </c>
      <c r="I208" s="339">
        <f>I210+I212+I214+I216</f>
        <v>0</v>
      </c>
      <c r="J208" s="197"/>
    </row>
    <row r="209" spans="1:10" ht="16.5" customHeight="1">
      <c r="A209" s="198"/>
      <c r="B209" s="206"/>
      <c r="C209" s="238"/>
      <c r="D209" s="238"/>
      <c r="E209" s="238"/>
      <c r="F209" s="238"/>
      <c r="G209" s="207"/>
      <c r="H209" s="208"/>
      <c r="I209" s="209"/>
      <c r="J209" s="210"/>
    </row>
    <row r="210" spans="1:10" ht="16.5" customHeight="1">
      <c r="A210" s="15"/>
      <c r="B210" s="217" t="s">
        <v>50</v>
      </c>
      <c r="C210" s="230">
        <v>0</v>
      </c>
      <c r="D210" s="230">
        <v>0</v>
      </c>
      <c r="E210" s="293"/>
      <c r="F210" s="230">
        <v>0</v>
      </c>
      <c r="G210" s="38" t="s">
        <v>37</v>
      </c>
      <c r="H210" s="211"/>
      <c r="I210" s="318"/>
      <c r="J210" s="40"/>
    </row>
    <row r="211" spans="1:10" ht="16.5" customHeight="1">
      <c r="A211" s="15"/>
      <c r="B211" s="213"/>
      <c r="C211" s="237"/>
      <c r="D211" s="237"/>
      <c r="E211" s="237"/>
      <c r="F211" s="237"/>
      <c r="G211" s="214"/>
      <c r="H211" s="215"/>
      <c r="I211" s="319"/>
      <c r="J211" s="42"/>
    </row>
    <row r="212" spans="1:10" ht="16.5" customHeight="1">
      <c r="A212" s="15"/>
      <c r="B212" s="218" t="s">
        <v>51</v>
      </c>
      <c r="C212" s="230">
        <v>0</v>
      </c>
      <c r="D212" s="230">
        <v>0</v>
      </c>
      <c r="E212" s="293">
        <f>I212</f>
        <v>0</v>
      </c>
      <c r="F212" s="230">
        <v>0</v>
      </c>
      <c r="G212" s="38" t="s">
        <v>38</v>
      </c>
      <c r="H212" s="211"/>
      <c r="I212" s="338">
        <f>I213</f>
        <v>0</v>
      </c>
      <c r="J212" s="40"/>
    </row>
    <row r="213" spans="1:10" ht="16.5" customHeight="1">
      <c r="A213" s="15"/>
      <c r="B213" s="219"/>
      <c r="C213" s="237"/>
      <c r="D213" s="237"/>
      <c r="E213" s="237"/>
      <c r="F213" s="237"/>
      <c r="G213" s="214"/>
      <c r="H213" s="215"/>
      <c r="I213" s="319"/>
      <c r="J213" s="42"/>
    </row>
    <row r="214" spans="1:10" ht="16.5" customHeight="1">
      <c r="A214" s="15"/>
      <c r="B214" s="217" t="s">
        <v>52</v>
      </c>
      <c r="C214" s="230">
        <v>0</v>
      </c>
      <c r="D214" s="230">
        <v>0</v>
      </c>
      <c r="E214" s="230">
        <v>0</v>
      </c>
      <c r="F214" s="230">
        <v>0</v>
      </c>
      <c r="G214" s="38" t="s">
        <v>39</v>
      </c>
      <c r="H214" s="211"/>
      <c r="I214" s="212">
        <v>0</v>
      </c>
      <c r="J214" s="40"/>
    </row>
    <row r="215" spans="1:10" ht="16.5" customHeight="1">
      <c r="A215" s="15"/>
      <c r="B215" s="213"/>
      <c r="C215" s="237"/>
      <c r="D215" s="237"/>
      <c r="E215" s="237"/>
      <c r="F215" s="237"/>
      <c r="G215" s="214"/>
      <c r="H215" s="215"/>
      <c r="I215" s="216"/>
      <c r="J215" s="42"/>
    </row>
    <row r="216" spans="1:10" ht="16.5" customHeight="1">
      <c r="A216" s="15"/>
      <c r="B216" s="217" t="s">
        <v>53</v>
      </c>
      <c r="C216" s="230">
        <v>0</v>
      </c>
      <c r="D216" s="230">
        <v>0</v>
      </c>
      <c r="E216" s="230">
        <v>0</v>
      </c>
      <c r="F216" s="230">
        <v>0</v>
      </c>
      <c r="G216" s="38" t="s">
        <v>40</v>
      </c>
      <c r="H216" s="211"/>
      <c r="I216" s="212">
        <v>0</v>
      </c>
      <c r="J216" s="40"/>
    </row>
    <row r="217" spans="1:10" ht="16.5" customHeight="1" thickBot="1">
      <c r="A217" s="228"/>
      <c r="B217" s="240"/>
      <c r="C217" s="241"/>
      <c r="D217" s="241"/>
      <c r="E217" s="241"/>
      <c r="F217" s="241"/>
      <c r="G217" s="242"/>
      <c r="H217" s="243"/>
      <c r="I217" s="244"/>
      <c r="J217" s="91"/>
    </row>
    <row r="218" spans="1:10" ht="16.5" customHeight="1">
      <c r="A218" s="410" t="s">
        <v>26</v>
      </c>
      <c r="B218" s="411"/>
      <c r="C218" s="246">
        <f>SUM(C208,C174,C169,C165,C53,C5)</f>
        <v>20196272</v>
      </c>
      <c r="D218" s="246">
        <v>0</v>
      </c>
      <c r="E218" s="246">
        <f>SUM(E208,E174,E169,E165,E53,E5)</f>
        <v>20164897</v>
      </c>
      <c r="F218" s="246">
        <f>E218-C218</f>
        <v>-31375</v>
      </c>
      <c r="G218" s="224"/>
      <c r="H218" s="225"/>
      <c r="I218" s="222"/>
      <c r="J218" s="220"/>
    </row>
    <row r="219" spans="1:10" ht="17.25" thickBot="1">
      <c r="A219" s="228"/>
      <c r="B219" s="229"/>
      <c r="C219" s="248"/>
      <c r="D219" s="247"/>
      <c r="E219" s="248"/>
      <c r="F219" s="248"/>
      <c r="G219" s="226"/>
      <c r="H219" s="227"/>
      <c r="I219" s="223"/>
      <c r="J219" s="221"/>
    </row>
    <row r="220" spans="1:10">
      <c r="F220" s="7"/>
    </row>
  </sheetData>
  <mergeCells count="17">
    <mergeCell ref="A5:B5"/>
    <mergeCell ref="A3:B4"/>
    <mergeCell ref="J3:J4"/>
    <mergeCell ref="A1:J1"/>
    <mergeCell ref="G3:I4"/>
    <mergeCell ref="A2:J2"/>
    <mergeCell ref="B24:B25"/>
    <mergeCell ref="B49:B50"/>
    <mergeCell ref="A218:B218"/>
    <mergeCell ref="A208:B208"/>
    <mergeCell ref="B194:B195"/>
    <mergeCell ref="A165:B165"/>
    <mergeCell ref="A169:B169"/>
    <mergeCell ref="A174:B174"/>
    <mergeCell ref="A53:B53"/>
    <mergeCell ref="B88:B89"/>
    <mergeCell ref="B162:B164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표지</vt:lpstr>
      <vt:lpstr>총칙</vt:lpstr>
      <vt:lpstr>세입</vt:lpstr>
      <vt:lpstr>세출</vt:lpstr>
      <vt:lpstr>세입!Print_Area</vt:lpstr>
      <vt:lpstr>세출!Print_Area</vt:lpstr>
      <vt:lpstr>세입!Print_Titles</vt:lpstr>
      <vt:lpstr>세출!Print_Titles</vt:lpstr>
    </vt:vector>
  </TitlesOfParts>
  <Company>TaipeiKoreanSchool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student_02</dc:creator>
  <cp:lastModifiedBy>Owner</cp:lastModifiedBy>
  <cp:lastPrinted>2020-12-07T02:36:02Z</cp:lastPrinted>
  <dcterms:created xsi:type="dcterms:W3CDTF">2016-01-18T07:48:47Z</dcterms:created>
  <dcterms:modified xsi:type="dcterms:W3CDTF">2021-10-18T01:30:33Z</dcterms:modified>
</cp:coreProperties>
</file>