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~2019 행정실 자료\2018 2019학교회계 예산 자료\2020학년도 본예산\"/>
    </mc:Choice>
  </mc:AlternateContent>
  <bookViews>
    <workbookView xWindow="600" yWindow="45" windowWidth="17520" windowHeight="7935" activeTab="1"/>
  </bookViews>
  <sheets>
    <sheet name="표지" sheetId="4" r:id="rId1"/>
    <sheet name="총칙" sheetId="5" r:id="rId2"/>
    <sheet name="세입" sheetId="1" r:id="rId3"/>
    <sheet name="세출" sheetId="2" r:id="rId4"/>
  </sheets>
  <definedNames>
    <definedName name="_xlnm.Print_Area" localSheetId="2">세입!$A$1:$J$83</definedName>
    <definedName name="_xlnm.Print_Area" localSheetId="3">세출!$A$1:$J$216</definedName>
    <definedName name="_xlnm.Print_Titles" localSheetId="2">세입!$4:$6</definedName>
    <definedName name="_xlnm.Print_Titles" localSheetId="3">세출!$2:$4</definedName>
  </definedNames>
  <calcPr calcId="152511"/>
</workbook>
</file>

<file path=xl/calcChain.xml><?xml version="1.0" encoding="utf-8"?>
<calcChain xmlns="http://schemas.openxmlformats.org/spreadsheetml/2006/main">
  <c r="I167" i="2" l="1"/>
  <c r="I28" i="2" l="1"/>
  <c r="I83" i="2" l="1"/>
  <c r="I27" i="2"/>
  <c r="I30" i="2" l="1"/>
  <c r="I29" i="2"/>
  <c r="I82" i="2" l="1"/>
  <c r="I153" i="2"/>
  <c r="I124" i="2" l="1"/>
  <c r="I115" i="2" l="1"/>
  <c r="I22" i="1" l="1"/>
  <c r="I61" i="2"/>
  <c r="I60" i="2"/>
  <c r="I175" i="2"/>
  <c r="I129" i="2"/>
  <c r="I128" i="2"/>
  <c r="I127" i="2"/>
  <c r="I118" i="2"/>
  <c r="I109" i="2"/>
  <c r="I134" i="2" l="1"/>
  <c r="I46" i="2" l="1"/>
  <c r="I36" i="1" l="1"/>
  <c r="I34" i="1"/>
  <c r="I177" i="2"/>
  <c r="I14" i="1" l="1"/>
  <c r="I131" i="2" l="1"/>
  <c r="I197" i="2"/>
  <c r="I25" i="1"/>
  <c r="I132" i="2" l="1"/>
  <c r="I30" i="1"/>
  <c r="I173" i="2"/>
  <c r="I21" i="1"/>
  <c r="I13" i="1"/>
  <c r="I11" i="1"/>
  <c r="I204" i="2" l="1"/>
  <c r="I189" i="2"/>
  <c r="I176" i="2"/>
  <c r="I174" i="2" s="1"/>
  <c r="I160" i="2"/>
  <c r="I34" i="2"/>
  <c r="I84" i="2"/>
  <c r="I74" i="2"/>
  <c r="I51" i="2"/>
  <c r="I40" i="2"/>
  <c r="I41" i="2"/>
  <c r="I199" i="2"/>
  <c r="I200" i="2"/>
  <c r="I33" i="2"/>
  <c r="I32" i="2"/>
  <c r="I15" i="2"/>
  <c r="I14" i="2"/>
  <c r="I35" i="2"/>
  <c r="I31" i="2"/>
  <c r="I26" i="2"/>
  <c r="I22" i="2" l="1"/>
  <c r="I21" i="2" s="1"/>
  <c r="I17" i="2"/>
  <c r="I16" i="2"/>
  <c r="I13" i="2"/>
  <c r="I12" i="2"/>
  <c r="I11" i="2"/>
  <c r="I9" i="2"/>
  <c r="I8" i="2"/>
  <c r="I146" i="2"/>
  <c r="I10" i="1" l="1"/>
  <c r="I209" i="2" l="1"/>
  <c r="I139" i="2"/>
  <c r="I205" i="2" l="1"/>
  <c r="E205" i="2" s="1"/>
  <c r="E209" i="2"/>
  <c r="I88" i="2"/>
  <c r="I77" i="2"/>
  <c r="I81" i="2"/>
  <c r="I76" i="2"/>
  <c r="I71" i="2"/>
  <c r="I47" i="2" l="1"/>
  <c r="I44" i="2"/>
  <c r="I38" i="2"/>
  <c r="I20" i="2"/>
  <c r="I150" i="2" l="1"/>
  <c r="I26" i="1"/>
  <c r="I24" i="1"/>
  <c r="C161" i="2"/>
  <c r="I194" i="2" l="1"/>
  <c r="I191" i="2" s="1"/>
  <c r="I20" i="1" l="1"/>
  <c r="I39" i="2" l="1"/>
  <c r="I48" i="2" l="1"/>
  <c r="I72" i="1"/>
  <c r="E72" i="1" s="1"/>
  <c r="I195" i="2" l="1"/>
  <c r="E191" i="2" s="1"/>
  <c r="I164" i="2"/>
  <c r="I154" i="2"/>
  <c r="I152" i="2" s="1"/>
  <c r="I151" i="2"/>
  <c r="I149" i="2"/>
  <c r="I148" i="2"/>
  <c r="I144" i="2"/>
  <c r="I126" i="2"/>
  <c r="I119" i="2"/>
  <c r="I111" i="2"/>
  <c r="I80" i="2" l="1"/>
  <c r="I79" i="2"/>
  <c r="I59" i="2"/>
  <c r="I58" i="2"/>
  <c r="C170" i="2" l="1"/>
  <c r="I187" i="2"/>
  <c r="I185" i="2"/>
  <c r="I172" i="2"/>
  <c r="I155" i="2"/>
  <c r="I130" i="2"/>
  <c r="I56" i="2" l="1"/>
  <c r="C7" i="1" l="1"/>
  <c r="C49" i="1"/>
  <c r="C60" i="1"/>
  <c r="I54" i="1"/>
  <c r="C68" i="1"/>
  <c r="C31" i="1"/>
  <c r="I58" i="1"/>
  <c r="I46" i="1"/>
  <c r="I42" i="1"/>
  <c r="I40" i="1"/>
  <c r="C81" i="1" l="1"/>
  <c r="I12" i="1"/>
  <c r="E12" i="1" s="1"/>
  <c r="I56" i="1" l="1"/>
  <c r="I35" i="1" l="1"/>
  <c r="E35" i="1" s="1"/>
  <c r="I67" i="2" l="1"/>
  <c r="I68" i="2"/>
  <c r="I62" i="1" l="1"/>
  <c r="I142" i="2" l="1"/>
  <c r="I78" i="2"/>
  <c r="I147" i="2" l="1"/>
  <c r="I159" i="2" l="1"/>
  <c r="I25" i="2" l="1"/>
  <c r="E62" i="1" l="1"/>
  <c r="F62" i="1" s="1"/>
  <c r="I137" i="2" l="1"/>
  <c r="I37" i="1" l="1"/>
  <c r="I86" i="2"/>
  <c r="I85" i="2" s="1"/>
  <c r="I92" i="2"/>
  <c r="I94" i="2"/>
  <c r="I42" i="2" l="1"/>
  <c r="I203" i="2" l="1"/>
  <c r="I18" i="1" l="1"/>
  <c r="I70" i="2"/>
  <c r="I123" i="2" l="1"/>
  <c r="I113" i="2"/>
  <c r="I106" i="2"/>
  <c r="I103" i="2"/>
  <c r="I104" i="2"/>
  <c r="I105" i="2"/>
  <c r="I98" i="2"/>
  <c r="I101" i="2"/>
  <c r="I100" i="2"/>
  <c r="I99" i="2"/>
  <c r="I102" i="2" l="1"/>
  <c r="I55" i="1" l="1"/>
  <c r="E55" i="1" s="1"/>
  <c r="I18" i="2"/>
  <c r="I163" i="2" l="1"/>
  <c r="E163" i="2" s="1"/>
  <c r="E161" i="2" s="1"/>
  <c r="E167" i="2" l="1"/>
  <c r="F167" i="2" l="1"/>
  <c r="E165" i="2"/>
  <c r="I198" i="2"/>
  <c r="E172" i="2" l="1"/>
  <c r="I125" i="2" l="1"/>
  <c r="I201" i="2" l="1"/>
  <c r="I73" i="2" l="1"/>
  <c r="I90" i="2"/>
  <c r="I89" i="2"/>
  <c r="I87" i="2" l="1"/>
  <c r="I66" i="2"/>
  <c r="I57" i="2"/>
  <c r="I65" i="2"/>
  <c r="I141" i="2"/>
  <c r="I9" i="1" l="1"/>
  <c r="E9" i="1" s="1"/>
  <c r="F9" i="1" s="1"/>
  <c r="I93" i="2"/>
  <c r="I7" i="2" l="1"/>
  <c r="I97" i="2"/>
  <c r="I45" i="2"/>
  <c r="I110" i="2"/>
  <c r="I121" i="2"/>
  <c r="I19" i="2" l="1"/>
  <c r="I55" i="2" l="1"/>
  <c r="I54" i="2" s="1"/>
  <c r="I50" i="2" l="1"/>
  <c r="E48" i="2" s="1"/>
  <c r="I117" i="2" l="1"/>
  <c r="C5" i="2"/>
  <c r="F161" i="2"/>
  <c r="C165" i="2"/>
  <c r="C52" i="2"/>
  <c r="F165" i="2" l="1"/>
  <c r="C215" i="2"/>
  <c r="I10" i="2" l="1"/>
  <c r="E7" i="2" s="1"/>
  <c r="I108" i="2"/>
  <c r="I75" i="2"/>
  <c r="I72" i="2"/>
  <c r="I158" i="2"/>
  <c r="I138" i="2" l="1"/>
  <c r="I43" i="2" l="1"/>
  <c r="I37" i="2"/>
  <c r="I36" i="2" s="1"/>
  <c r="I28" i="1"/>
  <c r="E18" i="1" s="1"/>
  <c r="F18" i="1" l="1"/>
  <c r="I183" i="2"/>
  <c r="I136" i="2"/>
  <c r="I143" i="2"/>
  <c r="I140" i="2" s="1"/>
  <c r="E198" i="2"/>
  <c r="I145" i="2" l="1"/>
  <c r="E136" i="2" s="1"/>
  <c r="I181" i="2" l="1"/>
  <c r="E181" i="2" s="1"/>
  <c r="E170" i="2" l="1"/>
  <c r="F179" i="2"/>
  <c r="F172" i="2"/>
  <c r="F181" i="2" l="1"/>
  <c r="F163" i="2"/>
  <c r="E158" i="2"/>
  <c r="F158" i="2" s="1"/>
  <c r="F191" i="2" l="1"/>
  <c r="F136" i="2"/>
  <c r="I95" i="2"/>
  <c r="E87" i="2" s="1"/>
  <c r="I69" i="2"/>
  <c r="I33" i="1"/>
  <c r="E33" i="1" s="1"/>
  <c r="F33" i="1" s="1"/>
  <c r="E54" i="2" l="1"/>
  <c r="E52" i="2" s="1"/>
  <c r="I24" i="2"/>
  <c r="E24" i="2" s="1"/>
  <c r="E5" i="2" s="1"/>
  <c r="F170" i="2"/>
  <c r="F198" i="2"/>
  <c r="E79" i="1"/>
  <c r="F79" i="1" s="1"/>
  <c r="E77" i="1"/>
  <c r="F72" i="1"/>
  <c r="E70" i="1"/>
  <c r="E66" i="1"/>
  <c r="F66" i="1" s="1"/>
  <c r="E64" i="1"/>
  <c r="F64" i="1" s="1"/>
  <c r="F55" i="1"/>
  <c r="E46" i="1"/>
  <c r="E44" i="1"/>
  <c r="F44" i="1" s="1"/>
  <c r="E42" i="1"/>
  <c r="E40" i="1"/>
  <c r="F40" i="1" s="1"/>
  <c r="E37" i="1"/>
  <c r="F37" i="1" s="1"/>
  <c r="E16" i="1"/>
  <c r="F16" i="1" s="1"/>
  <c r="I53" i="1"/>
  <c r="F54" i="2" l="1"/>
  <c r="F5" i="2"/>
  <c r="F42" i="1"/>
  <c r="E31" i="1"/>
  <c r="F87" i="2"/>
  <c r="E215" i="2"/>
  <c r="F35" i="1"/>
  <c r="F24" i="2"/>
  <c r="F46" i="1"/>
  <c r="F48" i="2"/>
  <c r="I51" i="1"/>
  <c r="F215" i="2" l="1"/>
  <c r="E51" i="1"/>
  <c r="E49" i="1" s="1"/>
  <c r="F31" i="1"/>
  <c r="F52" i="2"/>
  <c r="F51" i="1" l="1"/>
  <c r="F49" i="1" s="1"/>
  <c r="E7" i="1" l="1"/>
  <c r="F7" i="2"/>
  <c r="F12" i="1" l="1"/>
  <c r="E60" i="1" l="1"/>
  <c r="F70" i="1"/>
  <c r="E68" i="1"/>
  <c r="E81" i="1" s="1"/>
  <c r="F81" i="1" s="1"/>
  <c r="F77" i="1"/>
  <c r="F68" i="1" l="1"/>
  <c r="F7" i="1"/>
</calcChain>
</file>

<file path=xl/sharedStrings.xml><?xml version="1.0" encoding="utf-8"?>
<sst xmlns="http://schemas.openxmlformats.org/spreadsheetml/2006/main" count="501" uniqueCount="332">
  <si>
    <t>□ 세입</t>
  </si>
  <si>
    <t>구  분</t>
  </si>
  <si>
    <t>(Y-1)예산</t>
  </si>
  <si>
    <t>(A)</t>
  </si>
  <si>
    <t>(Y-2)결산</t>
  </si>
  <si>
    <t>(B)</t>
  </si>
  <si>
    <t>(Y)예산</t>
  </si>
  <si>
    <t>(C)</t>
  </si>
  <si>
    <t>증감</t>
  </si>
  <si>
    <t>(C-A)</t>
  </si>
  <si>
    <t>비고</t>
  </si>
  <si>
    <t>학부모부담수입</t>
  </si>
  <si>
    <t>수익자부담경비</t>
  </si>
  <si>
    <t>교육부지원금</t>
  </si>
  <si>
    <t>시설(대수선)비</t>
  </si>
  <si>
    <t>자체수입</t>
  </si>
  <si>
    <t>전입금 및 지원금</t>
  </si>
  <si>
    <t>기타수입</t>
  </si>
  <si>
    <t>합  계</t>
  </si>
  <si>
    <t xml:space="preserve">  </t>
  </si>
  <si>
    <t>□ 세출</t>
  </si>
  <si>
    <t>인건비</t>
  </si>
  <si>
    <t>학교운영비</t>
  </si>
  <si>
    <t>  - 학생복리비</t>
  </si>
  <si>
    <t>자산취득비</t>
  </si>
  <si>
    <t>예비비및기타</t>
  </si>
  <si>
    <t>합 계</t>
  </si>
  <si>
    <t>=</t>
    <phoneticPr fontId="6" type="noConversion"/>
  </si>
  <si>
    <t>비고</t>
    <phoneticPr fontId="6" type="noConversion"/>
  </si>
  <si>
    <t>산출기초(단위: NTD)</t>
    <phoneticPr fontId="6" type="noConversion"/>
  </si>
  <si>
    <t>1. 교과활동지원</t>
    <phoneticPr fontId="6" type="noConversion"/>
  </si>
  <si>
    <t xml:space="preserve">   ·</t>
    <phoneticPr fontId="6" type="noConversion"/>
  </si>
  <si>
    <t>1. 학생보건안전관리</t>
    <phoneticPr fontId="6" type="noConversion"/>
  </si>
  <si>
    <t>2. 학교환경위생관리</t>
    <phoneticPr fontId="6" type="noConversion"/>
  </si>
  <si>
    <t>=</t>
    <phoneticPr fontId="6" type="noConversion"/>
  </si>
  <si>
    <t>1. 수련활동비</t>
    <phoneticPr fontId="6" type="noConversion"/>
  </si>
  <si>
    <t>1. 통학차량 운영</t>
    <phoneticPr fontId="6" type="noConversion"/>
  </si>
  <si>
    <t>1. 예비비</t>
    <phoneticPr fontId="6" type="noConversion"/>
  </si>
  <si>
    <t>1. 다음연도 이월금</t>
    <phoneticPr fontId="6" type="noConversion"/>
  </si>
  <si>
    <t>1. 적립금</t>
    <phoneticPr fontId="6" type="noConversion"/>
  </si>
  <si>
    <t>1. 환차손</t>
    <phoneticPr fontId="6" type="noConversion"/>
  </si>
  <si>
    <t>1. 기본급</t>
    <phoneticPr fontId="6" type="noConversion"/>
  </si>
  <si>
    <t>- 퇴직적립금</t>
    <phoneticPr fontId="6" type="noConversion"/>
  </si>
  <si>
    <t>- 일반운영비</t>
    <phoneticPr fontId="6" type="noConversion"/>
  </si>
  <si>
    <t>- 교수학습
활동비</t>
    <phoneticPr fontId="6" type="noConversion"/>
  </si>
  <si>
    <t>- 자산취득비</t>
    <phoneticPr fontId="6" type="noConversion"/>
  </si>
  <si>
    <t>- 시설비</t>
    <phoneticPr fontId="6" type="noConversion"/>
  </si>
  <si>
    <t>- 현장학습비</t>
    <phoneticPr fontId="6" type="noConversion"/>
  </si>
  <si>
    <t>- 학교급식비</t>
    <phoneticPr fontId="6" type="noConversion"/>
  </si>
  <si>
    <t>- 방과후학교교육활동비</t>
    <phoneticPr fontId="6" type="noConversion"/>
  </si>
  <si>
    <t>- 예비비</t>
    <phoneticPr fontId="6" type="noConversion"/>
  </si>
  <si>
    <t>- 다음연도이월금</t>
    <phoneticPr fontId="6" type="noConversion"/>
  </si>
  <si>
    <t>- 적립금</t>
    <phoneticPr fontId="6" type="noConversion"/>
  </si>
  <si>
    <t>- 환차손</t>
    <phoneticPr fontId="6" type="noConversion"/>
  </si>
  <si>
    <t>2. 수당</t>
    <phoneticPr fontId="6" type="noConversion"/>
  </si>
  <si>
    <t>3. 복리후생비</t>
    <phoneticPr fontId="6" type="noConversion"/>
  </si>
  <si>
    <t>1. 입학금</t>
    <phoneticPr fontId="6" type="noConversion"/>
  </si>
  <si>
    <t>- 입학금</t>
    <phoneticPr fontId="6" type="noConversion"/>
  </si>
  <si>
    <t>- 수업료</t>
    <phoneticPr fontId="6" type="noConversion"/>
  </si>
  <si>
    <t>- 학교운영지원비</t>
    <phoneticPr fontId="6" type="noConversion"/>
  </si>
  <si>
    <t>- 수익자부담경비</t>
    <phoneticPr fontId="6" type="noConversion"/>
  </si>
  <si>
    <t>2. 지난년도 수업료</t>
    <phoneticPr fontId="6" type="noConversion"/>
  </si>
  <si>
    <t>1. 수업료</t>
    <phoneticPr fontId="6" type="noConversion"/>
  </si>
  <si>
    <t>- 현재채용교직원인건비</t>
    <phoneticPr fontId="6" type="noConversion"/>
  </si>
  <si>
    <t>- 운영비</t>
    <phoneticPr fontId="6" type="noConversion"/>
  </si>
  <si>
    <t>- 임차료</t>
    <phoneticPr fontId="6" type="noConversion"/>
  </si>
  <si>
    <t>- 저소득층자녀지원</t>
    <phoneticPr fontId="6" type="noConversion"/>
  </si>
  <si>
    <t>- 방과후학교지원</t>
    <phoneticPr fontId="6" type="noConversion"/>
  </si>
  <si>
    <t>- 시설(대수선)비</t>
    <phoneticPr fontId="6" type="noConversion"/>
  </si>
  <si>
    <t>- 학교발전기금전입금</t>
    <phoneticPr fontId="6" type="noConversion"/>
  </si>
  <si>
    <t>- 법인전입금</t>
    <phoneticPr fontId="6" type="noConversion"/>
  </si>
  <si>
    <t>- 기타지원금</t>
    <phoneticPr fontId="6" type="noConversion"/>
  </si>
  <si>
    <t>- 과년도 수입</t>
    <phoneticPr fontId="6" type="noConversion"/>
  </si>
  <si>
    <t>- 이월금</t>
    <phoneticPr fontId="6" type="noConversion"/>
  </si>
  <si>
    <t>- 환차익</t>
    <phoneticPr fontId="6" type="noConversion"/>
  </si>
  <si>
    <t>- 사용료및수수료</t>
    <phoneticPr fontId="6" type="noConversion"/>
  </si>
  <si>
    <t>- 잡수입</t>
    <phoneticPr fontId="6" type="noConversion"/>
  </si>
  <si>
    <t>4. 부담금</t>
    <phoneticPr fontId="6" type="noConversion"/>
  </si>
  <si>
    <t>- 업무추진비</t>
    <phoneticPr fontId="6" type="noConversion"/>
  </si>
  <si>
    <t>- 직원 및 계약교직원</t>
    <phoneticPr fontId="6" type="noConversion"/>
  </si>
  <si>
    <t>- 교원</t>
    <phoneticPr fontId="6" type="noConversion"/>
  </si>
  <si>
    <t> - 학생수련활동비</t>
    <phoneticPr fontId="6" type="noConversion"/>
  </si>
  <si>
    <t>2. 현장체험학습비</t>
    <phoneticPr fontId="6" type="noConversion"/>
  </si>
  <si>
    <t>1. 급식비</t>
    <phoneticPr fontId="6" type="noConversion"/>
  </si>
  <si>
    <t>1. 이자수입</t>
    <phoneticPr fontId="6" type="noConversion"/>
  </si>
  <si>
    <t>2. 수수료</t>
    <phoneticPr fontId="6" type="noConversion"/>
  </si>
  <si>
    <t>3. 기타잡수입</t>
    <phoneticPr fontId="6" type="noConversion"/>
  </si>
  <si>
    <t>1. 순세계잉여금</t>
    <phoneticPr fontId="6" type="noConversion"/>
  </si>
  <si>
    <t>1. 학교운영지원비</t>
    <phoneticPr fontId="6" type="noConversion"/>
  </si>
  <si>
    <t>1. 임차료</t>
    <phoneticPr fontId="6" type="noConversion"/>
  </si>
  <si>
    <t>1. 운영비</t>
    <phoneticPr fontId="6" type="noConversion"/>
  </si>
  <si>
    <t>1. 방과후학교 운영</t>
    <phoneticPr fontId="6" type="noConversion"/>
  </si>
  <si>
    <t>2.재외교육기여장려금</t>
    <phoneticPr fontId="6" type="noConversion"/>
  </si>
  <si>
    <t>1. 시설비</t>
    <phoneticPr fontId="6" type="noConversion"/>
  </si>
  <si>
    <t>1. 교육환경개선</t>
    <phoneticPr fontId="6" type="noConversion"/>
  </si>
  <si>
    <t>9. 교무업무운영</t>
    <phoneticPr fontId="6" type="noConversion"/>
  </si>
  <si>
    <t>11. 입학식 및 졸업식(유치원)</t>
    <phoneticPr fontId="6" type="noConversion"/>
  </si>
  <si>
    <t>1. 학교발전기금전입금</t>
    <phoneticPr fontId="6" type="noConversion"/>
  </si>
  <si>
    <t>1. 법인전입금</t>
    <phoneticPr fontId="6" type="noConversion"/>
  </si>
  <si>
    <t>1. 기타지원금</t>
    <phoneticPr fontId="6" type="noConversion"/>
  </si>
  <si>
    <t>4. 통학차량 운영지원</t>
    <phoneticPr fontId="6" type="noConversion"/>
  </si>
  <si>
    <t>1. 적립금</t>
    <phoneticPr fontId="6" type="noConversion"/>
  </si>
  <si>
    <t>1. 환차익</t>
    <phoneticPr fontId="6" type="noConversion"/>
  </si>
  <si>
    <t>1. 저소득층자녀지원</t>
    <phoneticPr fontId="6" type="noConversion"/>
  </si>
  <si>
    <t>1. 방과후학교지원</t>
    <phoneticPr fontId="6" type="noConversion"/>
  </si>
  <si>
    <t>1. 시설(대수선)비</t>
    <phoneticPr fontId="6" type="noConversion"/>
  </si>
  <si>
    <t>1. 기타교육부지원</t>
    <phoneticPr fontId="6" type="noConversion"/>
  </si>
  <si>
    <t>1. 기관업무추진비</t>
    <phoneticPr fontId="6" type="noConversion"/>
  </si>
  <si>
    <t>2. 학교시설장비유지</t>
    <phoneticPr fontId="6" type="noConversion"/>
  </si>
  <si>
    <t>=</t>
    <phoneticPr fontId="6" type="noConversion"/>
  </si>
  <si>
    <t>1. 교육지원부 운영</t>
    <phoneticPr fontId="6" type="noConversion"/>
  </si>
  <si>
    <t>3. 학교급식비 지원</t>
    <phoneticPr fontId="6" type="noConversion"/>
  </si>
  <si>
    <t>1. 급식 재료구입비</t>
    <phoneticPr fontId="6" type="noConversion"/>
  </si>
  <si>
    <t>3. 교직원 복지 및 역량강화</t>
    <phoneticPr fontId="6" type="noConversion"/>
  </si>
  <si>
    <t>1. 현재채용교직원인건비</t>
    <phoneticPr fontId="6" type="noConversion"/>
  </si>
  <si>
    <t>- 기타교육부지원금</t>
    <phoneticPr fontId="6" type="noConversion"/>
  </si>
  <si>
    <t>ㅇ여비(국내) 200원×12명×2회×12월</t>
    <phoneticPr fontId="6" type="noConversion"/>
  </si>
  <si>
    <t>=</t>
    <phoneticPr fontId="6" type="noConversion"/>
  </si>
  <si>
    <t>2. 예체능교과활동(초등학교)</t>
    <phoneticPr fontId="6" type="noConversion"/>
  </si>
  <si>
    <t>3. 예체능교과활동(유치원)</t>
    <phoneticPr fontId="6" type="noConversion"/>
  </si>
  <si>
    <t>4. 영어교과활동</t>
    <phoneticPr fontId="6" type="noConversion"/>
  </si>
  <si>
    <t>5. 중국어교과활동</t>
    <phoneticPr fontId="6" type="noConversion"/>
  </si>
  <si>
    <t>6.유치원 교과활동</t>
    <phoneticPr fontId="6" type="noConversion"/>
  </si>
  <si>
    <t>7. 자율활동(초등학교)</t>
    <phoneticPr fontId="6" type="noConversion"/>
  </si>
  <si>
    <t>8. 자율활동(유치원)</t>
    <phoneticPr fontId="6" type="noConversion"/>
  </si>
  <si>
    <t>2. 졸업앨범 제작(초등학교)</t>
    <phoneticPr fontId="6" type="noConversion"/>
  </si>
  <si>
    <t>3. 졸업앨범 제작(유치원)</t>
    <phoneticPr fontId="6" type="noConversion"/>
  </si>
  <si>
    <t>1. 현장체험학습(초등학교)</t>
    <phoneticPr fontId="6" type="noConversion"/>
  </si>
  <si>
    <t>2. 현장체험학습(유치원)</t>
    <phoneticPr fontId="6" type="noConversion"/>
  </si>
  <si>
    <t>10 입학식 및 졸업식(초등학교)</t>
    <phoneticPr fontId="6" type="noConversion"/>
  </si>
  <si>
    <t>ㅇ중국어능력평가 우편요금 50NTD×4회</t>
  </si>
  <si>
    <t>ㅇ학급운영비 200NTD×40명×2회</t>
  </si>
  <si>
    <t>ㅇ환경정리 500NTD×6학급</t>
  </si>
  <si>
    <t>ㅇ환경정리 500NTD×1학급</t>
  </si>
  <si>
    <t>ㅇ학교교육계획서 제작 400NTD×10부</t>
    <phoneticPr fontId="6" type="noConversion"/>
  </si>
  <si>
    <t>ㅇ체육대회 장소임대 1,000NTD×1회</t>
    <phoneticPr fontId="6" type="noConversion"/>
  </si>
  <si>
    <t>3. 수학여행</t>
    <phoneticPr fontId="6" type="noConversion"/>
  </si>
  <si>
    <t>ㅇ학예회 준비물품 400NTD×40명</t>
    <phoneticPr fontId="6" type="noConversion"/>
  </si>
  <si>
    <t>2. 급식종사원인건비</t>
    <phoneticPr fontId="6" type="noConversion"/>
  </si>
  <si>
    <t>ㅇ홈페이지 도메인 사용료 750NTD×1년</t>
    <phoneticPr fontId="6" type="noConversion"/>
  </si>
  <si>
    <t>2. 계속비</t>
    <phoneticPr fontId="6" type="noConversion"/>
  </si>
  <si>
    <t>타 이 뻬 이 한 국 학 교</t>
    <phoneticPr fontId="6" type="noConversion"/>
  </si>
  <si>
    <t>예 산 총 칙</t>
    <phoneticPr fontId="16" type="noConversion"/>
  </si>
  <si>
    <t xml:space="preserve">           하며, 세입ㆍ세출의 명세는 『세입ㆍ세출예산서』와 같다. </t>
    <phoneticPr fontId="16" type="noConversion"/>
  </si>
  <si>
    <t xml:space="preserve">제2조 국가로부터 용도가 지정되어 교부된 경비 또는 수익자부담경비는 추가경정예산의 성립 전에   </t>
    <phoneticPr fontId="16" type="noConversion"/>
  </si>
  <si>
    <t xml:space="preserve">         사용할 수 있으며, 이를 차기 추가경정예산에 반영한다.</t>
    <phoneticPr fontId="16" type="noConversion"/>
  </si>
  <si>
    <t xml:space="preserve">제3조 동일 예산 관내의 항간 또는 목간에 예산의 과부족이 있는 경우에는 사학기관재무ㆍ회계규칙 </t>
    <phoneticPr fontId="16" type="noConversion"/>
  </si>
  <si>
    <t xml:space="preserve">         제21조 제3항의 규정에 의하여 상호 전용할 수 있다. </t>
    <phoneticPr fontId="16" type="noConversion"/>
  </si>
  <si>
    <t xml:space="preserve">         단, 회계연도 경과 후에는 예산을 전용할 수 없으며, 업무추진비에 충당하기 위하여 다른 </t>
    <phoneticPr fontId="16" type="noConversion"/>
  </si>
  <si>
    <t xml:space="preserve">         비목에서 전용할 수 없다. </t>
    <phoneticPr fontId="16" type="noConversion"/>
  </si>
  <si>
    <t xml:space="preserve">제4조 다음의 경비에 부족이 생겼을 때에는 비목 상호간 또는 타 비목으로부터 이용할 수 있다. </t>
    <phoneticPr fontId="16" type="noConversion"/>
  </si>
  <si>
    <t xml:space="preserve">         단; 인건비 및 시설비의 예산은 다른 과목으로 이용할 수 없다.</t>
    <phoneticPr fontId="16" type="noConversion"/>
  </si>
  <si>
    <t xml:space="preserve">          1. 교원 및 직원 인건비, 연구비, 수당</t>
    <phoneticPr fontId="16" type="noConversion"/>
  </si>
  <si>
    <t xml:space="preserve">          2. 비정규직보수, 강사료</t>
    <phoneticPr fontId="16" type="noConversion"/>
  </si>
  <si>
    <t xml:space="preserve">          3. 세금, 공과금, 반환금</t>
    <phoneticPr fontId="16" type="noConversion"/>
  </si>
  <si>
    <t>1.사용료</t>
    <phoneticPr fontId="6" type="noConversion"/>
  </si>
  <si>
    <t>1. 과년도수입</t>
    <phoneticPr fontId="6" type="noConversion"/>
  </si>
  <si>
    <t>ㅇ나대지 61,668NTD×1년</t>
    <phoneticPr fontId="6" type="noConversion"/>
  </si>
  <si>
    <t>ㅇ저수조 청소 5,000NTD×2회</t>
    <phoneticPr fontId="6" type="noConversion"/>
  </si>
  <si>
    <t>ㅇ응급학생 병원후송 500NTD×5회</t>
    <phoneticPr fontId="6" type="noConversion"/>
  </si>
  <si>
    <t>ㅇ상하수도요금 500NTD×12월</t>
    <phoneticPr fontId="6" type="noConversion"/>
  </si>
  <si>
    <t>=</t>
    <phoneticPr fontId="6" type="noConversion"/>
  </si>
  <si>
    <t>4. 유제품대금</t>
    <phoneticPr fontId="6" type="noConversion"/>
  </si>
  <si>
    <t>3. 운영비</t>
    <phoneticPr fontId="6" type="noConversion"/>
  </si>
  <si>
    <t>ㅇ교수학습재료구입비</t>
    <phoneticPr fontId="6" type="noConversion"/>
  </si>
  <si>
    <t>ㅇ방과후학교운영비</t>
    <phoneticPr fontId="6" type="noConversion"/>
  </si>
  <si>
    <t>=</t>
    <phoneticPr fontId="6" type="noConversion"/>
  </si>
  <si>
    <t>ㅇ보결수당 150NTD×40시간</t>
    <phoneticPr fontId="6" type="noConversion"/>
  </si>
  <si>
    <t>ㅇ정수기 필터교환 650NTD×2대×6회</t>
    <phoneticPr fontId="6" type="noConversion"/>
  </si>
  <si>
    <t>ㅇ예금잔액증명 발급수수료 500NTD×5회</t>
    <phoneticPr fontId="6" type="noConversion"/>
  </si>
  <si>
    <t>ㅇ교직원 채용경비 32,000원×1회</t>
    <phoneticPr fontId="6" type="noConversion"/>
  </si>
  <si>
    <t>ㅇ타행송금및환전수수료(납입금환불) 30NTD×50회</t>
    <phoneticPr fontId="6" type="noConversion"/>
  </si>
  <si>
    <t>ㅇ사무용품 구입(교수학습자료지원금) 2,000NTD×5회</t>
    <phoneticPr fontId="6" type="noConversion"/>
  </si>
  <si>
    <t>ㅇ복사용지(교수학습자료지원금) 5,000NTD×2회</t>
    <phoneticPr fontId="6" type="noConversion"/>
  </si>
  <si>
    <t>ㅇ우편요금 150NTD×12월</t>
    <phoneticPr fontId="6" type="noConversion"/>
  </si>
  <si>
    <t>ㅇ화장실 소모품 및 청소용품 2,000NTD×4회</t>
    <phoneticPr fontId="6" type="noConversion"/>
  </si>
  <si>
    <t>ㅇ시간외근무수당 300NTD×5명×3시간×12월</t>
    <phoneticPr fontId="6" type="noConversion"/>
  </si>
  <si>
    <t>ㅇ시간외근무수당 300NTD×2명×8시간×12월</t>
    <phoneticPr fontId="6" type="noConversion"/>
  </si>
  <si>
    <t>ㅇ교재 1,300NTD×45부</t>
    <phoneticPr fontId="6" type="noConversion"/>
  </si>
  <si>
    <t>ㅇ공책 10NTD×45부×6회</t>
    <phoneticPr fontId="6" type="noConversion"/>
  </si>
  <si>
    <t>ㅇ학습준비물 100NTD×45명×2회</t>
    <phoneticPr fontId="6" type="noConversion"/>
  </si>
  <si>
    <t>ㅇ행사물품 1,000NTD×1회</t>
    <phoneticPr fontId="6" type="noConversion"/>
  </si>
  <si>
    <t>ㅇ교재 400NTD×90부</t>
    <phoneticPr fontId="6" type="noConversion"/>
  </si>
  <si>
    <t>ㅇ공책 10NTD×45부×6회</t>
    <phoneticPr fontId="6" type="noConversion"/>
  </si>
  <si>
    <t>ㅇ학예회 무대장식 4,000NTD×1회</t>
    <phoneticPr fontId="6" type="noConversion"/>
  </si>
  <si>
    <t>ㅇ행정장비 소모품(교수학습자료지원금) 4,000NTD×6회</t>
    <phoneticPr fontId="6" type="noConversion"/>
  </si>
  <si>
    <t>ㅇ전기안전관리용역 3,200NTD×12월</t>
    <phoneticPr fontId="6" type="noConversion"/>
  </si>
  <si>
    <t>ㅇ태권도복 600NTD×15벌</t>
    <phoneticPr fontId="6" type="noConversion"/>
  </si>
  <si>
    <t>ㅇ학교안전공제회비(학생,교직원) 550NTD×53명</t>
    <phoneticPr fontId="6" type="noConversion"/>
  </si>
  <si>
    <t>2. 지난년도 수입</t>
    <phoneticPr fontId="6" type="noConversion"/>
  </si>
  <si>
    <t>ㅇ실장 45,000NTD×1명×12월</t>
    <phoneticPr fontId="6" type="noConversion"/>
  </si>
  <si>
    <t>ㅇ경조사비 1,500NTD×2회</t>
    <phoneticPr fontId="6" type="noConversion"/>
  </si>
  <si>
    <t>ㅇ소방정밀점검 12,000NTD×1회</t>
    <phoneticPr fontId="6" type="noConversion"/>
  </si>
  <si>
    <t>ㅇ정수기 소독 3,500NTD×2대×1회</t>
    <phoneticPr fontId="6" type="noConversion"/>
  </si>
  <si>
    <t>ㅇ전화 및 인터넷요금 5,500N*12월</t>
    <phoneticPr fontId="6" type="noConversion"/>
  </si>
  <si>
    <t>5. 현장학습 지원</t>
    <phoneticPr fontId="6" type="noConversion"/>
  </si>
  <si>
    <t>ㅇ행정장비 소모품 구입 10,000NTD×5회</t>
    <phoneticPr fontId="6" type="noConversion"/>
  </si>
  <si>
    <t>ㅇ행정장비 유지보수 6,300NTD×1회</t>
    <phoneticPr fontId="6" type="noConversion"/>
  </si>
  <si>
    <t> 【단위 : 현지화(NTD, 괄호안 USD, 1USD=29NTD)】</t>
    <phoneticPr fontId="6" type="noConversion"/>
  </si>
  <si>
    <t>ㅇ예금이자 3,000NTD×2회</t>
    <phoneticPr fontId="6" type="noConversion"/>
  </si>
  <si>
    <t>ㅇ제증명발급 수수료 100NTD×3건+1,700 NTD</t>
    <phoneticPr fontId="6" type="noConversion"/>
  </si>
  <si>
    <t>ㅇ여비(국외출장) 20,000원×2명×2회+96,000NTD</t>
    <phoneticPr fontId="6" type="noConversion"/>
  </si>
  <si>
    <t>12. 토요한글학교 운영(재외동포재단지원금)</t>
    <phoneticPr fontId="6" type="noConversion"/>
  </si>
  <si>
    <t>ㅇ초등현장학습 인솔 교직원 중식 300NTD×8명×1회</t>
    <phoneticPr fontId="6" type="noConversion"/>
  </si>
  <si>
    <t>ㅇ초등현장학습 인솔교직원 활동비 300NTD×8명×2회</t>
    <phoneticPr fontId="6" type="noConversion"/>
  </si>
  <si>
    <t>ㅇ승강기안전관리용역 3,000NTD×12월</t>
    <phoneticPr fontId="6" type="noConversion"/>
  </si>
  <si>
    <t>ㅇ학예회경비 200NTD×20명</t>
    <phoneticPr fontId="6" type="noConversion"/>
  </si>
  <si>
    <t>ㅇ입학선물 300NTD×20명</t>
    <phoneticPr fontId="6" type="noConversion"/>
  </si>
  <si>
    <t>ㅇ교사 소독 5,000NTD×3회=</t>
    <phoneticPr fontId="6" type="noConversion"/>
  </si>
  <si>
    <t>ㅇ차량 보험료 40,00NTD×2대×1년</t>
    <phoneticPr fontId="6" type="noConversion"/>
  </si>
  <si>
    <t>ㅇ차량 유류 15,600NTD×9월</t>
    <phoneticPr fontId="6" type="noConversion"/>
  </si>
  <si>
    <t>ㅇ차량 등록세 및 연료세 15,00NTD×2대×1년</t>
    <phoneticPr fontId="6" type="noConversion"/>
  </si>
  <si>
    <t>6. 저소득층자녀 학비지원(교육부지원금)</t>
    <phoneticPr fontId="6" type="noConversion"/>
  </si>
  <si>
    <t>7. 기타 학생복지 지원</t>
    <phoneticPr fontId="6" type="noConversion"/>
  </si>
  <si>
    <t>ㅇ현장학습 차량비 지원(기사인건비) 750NTD×1명×12회×3시간</t>
    <phoneticPr fontId="6" type="noConversion"/>
  </si>
  <si>
    <t>5. 위탁급식 대금</t>
    <phoneticPr fontId="6" type="noConversion"/>
  </si>
  <si>
    <t>3. 이월사업비</t>
    <phoneticPr fontId="6" type="noConversion"/>
  </si>
  <si>
    <t> 【단위 : 현지화 NTD】</t>
    <phoneticPr fontId="6" type="noConversion"/>
  </si>
  <si>
    <t>ㅇ토요한글학교운영비(재단지원금)</t>
    <phoneticPr fontId="6" type="noConversion"/>
  </si>
  <si>
    <t>ㅇ직책수당(실장) 4,000NTD×1명×12월</t>
    <phoneticPr fontId="6" type="noConversion"/>
  </si>
  <si>
    <t>산출기초(단위: NTDD)</t>
    <phoneticPr fontId="6" type="noConversion"/>
  </si>
  <si>
    <t>ㅇ복지수당 7,000NTD×2명×12월</t>
    <phoneticPr fontId="6" type="noConversion"/>
  </si>
  <si>
    <t>ㅇ주택수당(실장) 18,000NTD×1명×12월</t>
    <phoneticPr fontId="6" type="noConversion"/>
  </si>
  <si>
    <t xml:space="preserve">ㅇ방과후교육활동비 </t>
    <phoneticPr fontId="6" type="noConversion"/>
  </si>
  <si>
    <t xml:space="preserve">ㅇ강사수당 </t>
    <phoneticPr fontId="6" type="noConversion"/>
  </si>
  <si>
    <t>ㅇ교재 및 재료비</t>
    <phoneticPr fontId="6" type="noConversion"/>
  </si>
  <si>
    <t>ㅇ전기요금 및 수용비</t>
    <phoneticPr fontId="6" type="noConversion"/>
  </si>
  <si>
    <t>4. 방과후교육활동비</t>
    <phoneticPr fontId="6" type="noConversion"/>
  </si>
  <si>
    <t>5. 기타수익자부담경비</t>
    <phoneticPr fontId="6" type="noConversion"/>
  </si>
  <si>
    <t>3. 토요한글학교운영비</t>
    <phoneticPr fontId="6" type="noConversion"/>
  </si>
  <si>
    <t xml:space="preserve">ㅇ강사수당 </t>
    <phoneticPr fontId="6" type="noConversion"/>
  </si>
  <si>
    <t>ㅇ주차요금 7,000NTD×3분기</t>
    <phoneticPr fontId="6" type="noConversion"/>
  </si>
  <si>
    <t>ㅇ나대지 49,817NTD(1년)×1회</t>
    <phoneticPr fontId="6" type="noConversion"/>
  </si>
  <si>
    <t>ㅇ저소득층자녀지원금 30,000NTD×1회</t>
    <phoneticPr fontId="6" type="noConversion"/>
  </si>
  <si>
    <t>ㅇ 교실 및 강당 사용료 3,500NTD×1회</t>
    <phoneticPr fontId="6" type="noConversion"/>
  </si>
  <si>
    <t>ㅇ명절휴가비 45,000NTD×4명×2회×60%</t>
    <phoneticPr fontId="6" type="noConversion"/>
  </si>
  <si>
    <t>ㅇ경력수당(실장) 6,000NTD×1명×12월</t>
    <phoneticPr fontId="6" type="noConversion"/>
  </si>
  <si>
    <t>ㅇ명절휴가비 38,500NTD×2명×2회×60%</t>
    <phoneticPr fontId="6" type="noConversion"/>
  </si>
  <si>
    <t>ㅇ노동보험기관부담금 3,200NTD×12월</t>
    <phoneticPr fontId="6" type="noConversion"/>
  </si>
  <si>
    <t>ㅇ전기요금 20,000NTD×12월</t>
    <phoneticPr fontId="6" type="noConversion"/>
  </si>
  <si>
    <t>ㅇ기계경비용역료 7,000NTD×12월</t>
    <phoneticPr fontId="6" type="noConversion"/>
  </si>
  <si>
    <t>ㅇ소규모수선 10,000NTD×15회</t>
    <phoneticPr fontId="6" type="noConversion"/>
  </si>
  <si>
    <t>ㅇ시설소모품구입 10,000NTD×5회</t>
    <phoneticPr fontId="6" type="noConversion"/>
  </si>
  <si>
    <t>ㅇ학습준비물(교수학습자료지원금) 10,000NTD×35명</t>
    <phoneticPr fontId="6" type="noConversion"/>
  </si>
  <si>
    <t>ㅇ약품 1,500NTD×10회</t>
    <phoneticPr fontId="6" type="noConversion"/>
  </si>
  <si>
    <t>ㅇ저소득층 자녀 학비 지원금 30,000NTD</t>
    <phoneticPr fontId="6" type="noConversion"/>
  </si>
  <si>
    <t xml:space="preserve">  타이뻬이한국학교회계 세입세출 예산</t>
    <phoneticPr fontId="16" type="noConversion"/>
  </si>
  <si>
    <t xml:space="preserve"> 2020학년도 </t>
    <phoneticPr fontId="16" type="noConversion"/>
  </si>
  <si>
    <t>2020학년도 타이뻬이한국학교회계 세입․세출예산서</t>
    <phoneticPr fontId="6" type="noConversion"/>
  </si>
  <si>
    <t>(회계연도 2020년  3월  1일 ~ 2021년   2월   28일)</t>
    <phoneticPr fontId="6" type="noConversion"/>
  </si>
  <si>
    <t>ㅇ유치원 30,000NTD×5명</t>
    <phoneticPr fontId="6" type="noConversion"/>
  </si>
  <si>
    <t>ㅇ간식비 지원 23NTD*180일*50명</t>
    <phoneticPr fontId="6" type="noConversion"/>
  </si>
  <si>
    <t>ㅇ교사 45,000NTD×4명×12월</t>
    <phoneticPr fontId="6" type="noConversion"/>
  </si>
  <si>
    <t>ㅇ시간강사 550NTD×2명×4시간×182일</t>
    <phoneticPr fontId="6" type="noConversion"/>
  </si>
  <si>
    <t>ㅇ담임수당 4,000NTD×4명×12월</t>
    <phoneticPr fontId="6" type="noConversion"/>
  </si>
  <si>
    <t>ㅇ부장수당 4,000NTD×1명×12월+2,000NTD×2명×12월</t>
    <phoneticPr fontId="6" type="noConversion"/>
  </si>
  <si>
    <t>ㅇ복지수당 7,000NTD×4명×12월</t>
    <phoneticPr fontId="6" type="noConversion"/>
  </si>
  <si>
    <t>ㅇ경력수당 7,000NTD×4명×12월</t>
    <phoneticPr fontId="6" type="noConversion"/>
  </si>
  <si>
    <t>ㅇ보전수당 4,000NTD×4명×12월</t>
    <phoneticPr fontId="6" type="noConversion"/>
  </si>
  <si>
    <t>ㅇ건강보험기관부담금부담금 17,000NTD×4명</t>
    <phoneticPr fontId="6" type="noConversion"/>
  </si>
  <si>
    <t>=</t>
    <phoneticPr fontId="6" type="noConversion"/>
  </si>
  <si>
    <t>ㅇ건강보험보충부담금(2018년도분)</t>
    <phoneticPr fontId="6" type="noConversion"/>
  </si>
  <si>
    <t>ㅇ행정원 32,000NTD×1명×12월</t>
    <phoneticPr fontId="6" type="noConversion"/>
  </si>
  <si>
    <t>=</t>
    <phoneticPr fontId="6" type="noConversion"/>
  </si>
  <si>
    <t>ㅇ외국어강사 부장수당 2,000NTD×2명×10월</t>
    <phoneticPr fontId="6" type="noConversion"/>
  </si>
  <si>
    <t>ㅇ화장실 청소원 인건비 12,000NTD×10월</t>
    <phoneticPr fontId="6" type="noConversion"/>
  </si>
  <si>
    <t>=</t>
    <phoneticPr fontId="6" type="noConversion"/>
  </si>
  <si>
    <t>ㅇ주택수당 18,000NTD×4명×12월</t>
    <phoneticPr fontId="6" type="noConversion"/>
  </si>
  <si>
    <t>ㅇ부양가족 추가 주택수당 2,000NTD×4명×12월</t>
    <phoneticPr fontId="6" type="noConversion"/>
  </si>
  <si>
    <t>ㅇ통학버스 안전도우미 인건비 
  160NTD×1명×182일×5시간+160NTD×1명×182일×2.5시간</t>
    <phoneticPr fontId="6" type="noConversion"/>
  </si>
  <si>
    <t>ㅇ통학버스 기사 안건비(22일분)
  325NTD×1명×22일×5시간+425NTD×1명×22일×2.5시간</t>
    <phoneticPr fontId="6" type="noConversion"/>
  </si>
  <si>
    <t>ㅇ부양가족 추가 주택수당 2,000NTD×1명×12월</t>
    <phoneticPr fontId="6" type="noConversion"/>
  </si>
  <si>
    <t>- 기타수익자
부담경비</t>
    <phoneticPr fontId="6" type="noConversion"/>
  </si>
  <si>
    <t>ㅇ통학차량 기사인건비(160일분)
  325NTD×1명×5시간×160일</t>
    <phoneticPr fontId="6" type="noConversion"/>
  </si>
  <si>
    <t>ㅇ통학차량 기사인건비(160일분)
  425NTD×1명×2.5시간×160일</t>
    <phoneticPr fontId="6" type="noConversion"/>
  </si>
  <si>
    <t>1. 퇴휴금</t>
    <phoneticPr fontId="6" type="noConversion"/>
  </si>
  <si>
    <t>ㅇ교사 90,000NTD×1명</t>
    <phoneticPr fontId="6" type="noConversion"/>
  </si>
  <si>
    <t>ㅇ건물 청소용역 20,000NTD×10월</t>
    <phoneticPr fontId="6" type="noConversion"/>
  </si>
  <si>
    <t>4. 임차료</t>
    <phoneticPr fontId="6" type="noConversion"/>
  </si>
  <si>
    <t>ㅇ태권도 강사수당 900NTD×1명×3시간×40회</t>
    <phoneticPr fontId="6" type="noConversion"/>
  </si>
  <si>
    <t>ㅇ교직원 간담회 350NTD×12명×10회</t>
    <phoneticPr fontId="6" type="noConversion"/>
  </si>
  <si>
    <t>ㅇ 사무용 비품 5,000NTD×4회</t>
    <phoneticPr fontId="6" type="noConversion"/>
  </si>
  <si>
    <t>ㅇ 버스 임차비 3,000NTD×2회</t>
    <phoneticPr fontId="6" type="noConversion"/>
  </si>
  <si>
    <t>ㅇ졸업앨범제작비 10명× 1,500 NTD</t>
    <phoneticPr fontId="6" type="noConversion"/>
  </si>
  <si>
    <t>ㅇ초등학생 30,000NTD×5명</t>
    <phoneticPr fontId="6" type="noConversion"/>
  </si>
  <si>
    <t>ㅇ유치원 40,000NTD×20명×2회</t>
    <phoneticPr fontId="6" type="noConversion"/>
  </si>
  <si>
    <t xml:space="preserve">ㅇ학생 </t>
    <phoneticPr fontId="6" type="noConversion"/>
  </si>
  <si>
    <t>ㅇ초등 현장체험학습비 500NTD×37명×2회</t>
    <phoneticPr fontId="6" type="noConversion"/>
  </si>
  <si>
    <t xml:space="preserve"> ㅇ 활동비 및 입장료 500NTD×2회×37명</t>
    <phoneticPr fontId="6" type="noConversion"/>
  </si>
  <si>
    <t>ㅇ통학버스비 140NTD×17명×182일</t>
    <phoneticPr fontId="6" type="noConversion"/>
  </si>
  <si>
    <t>ㅇ졸업앨범(유치원) 10명× 1,500 NTD</t>
    <phoneticPr fontId="6" type="noConversion"/>
  </si>
  <si>
    <t>2. 토요한글학교 운영</t>
    <phoneticPr fontId="6" type="noConversion"/>
  </si>
  <si>
    <t>ㅇ토요한글학교 수업료 9,600NTD×10명×2회</t>
    <phoneticPr fontId="6" type="noConversion"/>
  </si>
  <si>
    <t>ㅇ관리자 수당 14,000NTD×12월</t>
    <phoneticPr fontId="6" type="noConversion"/>
  </si>
  <si>
    <t xml:space="preserve">ㅇ강사비 </t>
    <phoneticPr fontId="6" type="noConversion"/>
  </si>
  <si>
    <t>ㅇ초등학생 30,500NTD×30명×2회</t>
    <phoneticPr fontId="6" type="noConversion"/>
  </si>
  <si>
    <t>ㅇ인건비 5,573,940NTD×1년</t>
    <phoneticPr fontId="6" type="noConversion"/>
  </si>
  <si>
    <t>ㅇ운영비 4,571,040NTD×1년</t>
    <phoneticPr fontId="6" type="noConversion"/>
  </si>
  <si>
    <t xml:space="preserve">ㅇ대만국적자 직원 퇴휴금 </t>
    <phoneticPr fontId="6" type="noConversion"/>
  </si>
  <si>
    <t>ㅇ건강보험기관부담금부담금 16,000NTD×12월</t>
    <phoneticPr fontId="6" type="noConversion"/>
  </si>
  <si>
    <t>13. 방과후학교운영</t>
    <phoneticPr fontId="6" type="noConversion"/>
  </si>
  <si>
    <t>=</t>
    <phoneticPr fontId="6" type="noConversion"/>
  </si>
  <si>
    <t>ㅇ강사수당(교육부지원금) 600NTD×100시간</t>
    <phoneticPr fontId="6" type="noConversion"/>
  </si>
  <si>
    <t>ㅇ교재 및 재료비(교육부지원금) 2,800NTD×10회</t>
    <phoneticPr fontId="6" type="noConversion"/>
  </si>
  <si>
    <t>ㅇ강사수당(학교자체지원금) 
  610NTD×56시간+610NTD×76시간+660NTD×76시간</t>
    <phoneticPr fontId="6" type="noConversion"/>
  </si>
  <si>
    <t>ㅇ 시설 개보수비 1,847,633NTD×1회</t>
    <phoneticPr fontId="6" type="noConversion"/>
  </si>
  <si>
    <t>ㅇ학습준비물 600NTD×25명×2회</t>
    <phoneticPr fontId="6" type="noConversion"/>
  </si>
  <si>
    <t>ㅇ학급운영비 200NTD×25명×2회</t>
    <phoneticPr fontId="6" type="noConversion"/>
  </si>
  <si>
    <t>ㅇ졸업사진 촬영(교원) 800NTD×3명</t>
    <phoneticPr fontId="6" type="noConversion"/>
  </si>
  <si>
    <t>ㅇ졸업앨범 제작(학교보관용) 800NTD×1부</t>
    <phoneticPr fontId="6" type="noConversion"/>
  </si>
  <si>
    <t>ㅇ졸업선물 800NTD×10명</t>
    <phoneticPr fontId="6" type="noConversion"/>
  </si>
  <si>
    <t>ㅇ 활동비 및 입장료  100NTD×25명×2회</t>
    <phoneticPr fontId="6" type="noConversion"/>
  </si>
  <si>
    <t>=</t>
    <phoneticPr fontId="6" type="noConversion"/>
  </si>
  <si>
    <t>ㅇ유치원현장학습 인솔교직원 중식 300NTD×3명×1회</t>
    <phoneticPr fontId="6" type="noConversion"/>
  </si>
  <si>
    <t>ㅇ유치원 현장체험학습비 220NTD×25명×2회</t>
    <phoneticPr fontId="6" type="noConversion"/>
  </si>
  <si>
    <t>ㅇ체육대회 준비물품 200NTD×55개</t>
    <phoneticPr fontId="6" type="noConversion"/>
  </si>
  <si>
    <t>ㅇ입학식 선물 500NTD×15명</t>
    <phoneticPr fontId="6" type="noConversion"/>
  </si>
  <si>
    <t>ㅇ현장학습 차량 임차비 11,700NTD×2회</t>
    <phoneticPr fontId="6" type="noConversion"/>
  </si>
  <si>
    <t>=</t>
    <phoneticPr fontId="6" type="noConversion"/>
  </si>
  <si>
    <t>ㅇ유치원현장학습 인솔교직원 활동비 300NTD×3명×1회</t>
    <phoneticPr fontId="6" type="noConversion"/>
  </si>
  <si>
    <t>ㅇ거류비자 및 공작증 신청 4,500NTD×1명</t>
    <phoneticPr fontId="6" type="noConversion"/>
  </si>
  <si>
    <t>ㅇ교직원 귀임 및 부임 항공료 9,000NTD×1명</t>
    <phoneticPr fontId="6" type="noConversion"/>
  </si>
  <si>
    <t>ㅇ교직원 자율연수비 1,000NTD×3명×12월</t>
    <phoneticPr fontId="6" type="noConversion"/>
  </si>
  <si>
    <t>=</t>
    <phoneticPr fontId="6" type="noConversion"/>
  </si>
  <si>
    <t>ㅇ영어 강사수당 660NTD×3명×4시간×180일</t>
    <phoneticPr fontId="6" type="noConversion"/>
  </si>
  <si>
    <t>ㅇ중국어 강사수당 
610NTD×1명×4시간×143일+560NTD×1명×4시간×143일
+610NTD×1명×3.5시간×143일</t>
    <phoneticPr fontId="6" type="noConversion"/>
  </si>
  <si>
    <t>ㅇ유치원 교육전담사 230NTD×1명×8시간×182일</t>
    <phoneticPr fontId="6" type="noConversion"/>
  </si>
  <si>
    <t>ㅇ유치원 보조원 중식 지원 120NTD×1명×181일</t>
    <phoneticPr fontId="6" type="noConversion"/>
  </si>
  <si>
    <t>ㅇ유치원 보조원 170NTD×1명×6시간×182일</t>
    <phoneticPr fontId="6" type="noConversion"/>
  </si>
  <si>
    <t xml:space="preserve">ㅇ 2019학년도 회계 잉여금 </t>
    <phoneticPr fontId="6" type="noConversion"/>
  </si>
  <si>
    <t>ㅇ 급식실 조성 사업비(교육부지원금)</t>
    <phoneticPr fontId="6" type="noConversion"/>
  </si>
  <si>
    <t>제 1 조 2020학년도 타이뻬이한국학교회계 세입ㆍ세출 예산 총액은 세입ㆍ세출 각각  18,274,078NTD로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</si>
</sst>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_ "/>
    <numFmt numFmtId="177" formatCode="#,##0_ "/>
  </numFmts>
  <fonts count="2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4"/>
      <color rgb="FF000000"/>
      <name val="휴먼명조"/>
      <family val="3"/>
      <charset val="129"/>
    </font>
    <font>
      <sz val="9"/>
      <color rgb="FF000000"/>
      <name val="한양신명조"/>
      <family val="3"/>
      <charset val="129"/>
    </font>
    <font>
      <b/>
      <sz val="9"/>
      <color rgb="FF000000"/>
      <name val="한양신명조"/>
      <family val="3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휴먼명조"/>
      <family val="3"/>
      <charset val="129"/>
    </font>
    <font>
      <sz val="13"/>
      <color rgb="FF000000"/>
      <name val="맑은 고딕"/>
      <family val="3"/>
      <charset val="129"/>
      <scheme val="major"/>
    </font>
    <font>
      <sz val="9"/>
      <color theme="1"/>
      <name val="한양신명조"/>
      <family val="3"/>
      <charset val="129"/>
    </font>
    <font>
      <b/>
      <sz val="6"/>
      <color rgb="FF000000"/>
      <name val="한양신명조"/>
      <family val="3"/>
      <charset val="129"/>
    </font>
    <font>
      <b/>
      <sz val="9"/>
      <color theme="1"/>
      <name val="한양신명조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1"/>
      <color indexed="10"/>
      <name val="HY헤드라인M"/>
      <family val="1"/>
      <charset val="129"/>
    </font>
    <font>
      <sz val="11"/>
      <color theme="1"/>
      <name val="HY헤드라인M"/>
      <family val="1"/>
      <charset val="129"/>
    </font>
    <font>
      <b/>
      <sz val="26"/>
      <name val="HY헤드라인M"/>
      <family val="1"/>
      <charset val="129"/>
    </font>
    <font>
      <sz val="8"/>
      <name val="돋움"/>
      <family val="3"/>
      <charset val="129"/>
    </font>
    <font>
      <b/>
      <sz val="28"/>
      <name val="HY헤드라인M"/>
      <family val="1"/>
      <charset val="129"/>
    </font>
    <font>
      <b/>
      <sz val="22"/>
      <name val="HY헤드라인M"/>
      <family val="1"/>
      <charset val="129"/>
    </font>
    <font>
      <sz val="24"/>
      <name val="HY헤드라인M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8"/>
      <color rgb="FF000000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vertical="center"/>
    </xf>
    <xf numFmtId="41" fontId="0" fillId="0" borderId="0" xfId="1" applyFont="1" applyAlignment="1">
      <alignment vertical="center"/>
    </xf>
    <xf numFmtId="41" fontId="5" fillId="0" borderId="3" xfId="1" applyFont="1" applyBorder="1" applyAlignment="1">
      <alignment horizontal="center" vertical="center" wrapText="1"/>
    </xf>
    <xf numFmtId="41" fontId="5" fillId="0" borderId="1" xfId="1" applyFont="1" applyBorder="1" applyAlignment="1">
      <alignment horizontal="justify" vertical="center" wrapText="1"/>
    </xf>
    <xf numFmtId="41" fontId="5" fillId="0" borderId="2" xfId="1" applyFont="1" applyBorder="1" applyAlignment="1">
      <alignment horizontal="justify" vertical="center" wrapText="1"/>
    </xf>
    <xf numFmtId="41" fontId="2" fillId="0" borderId="0" xfId="1" applyFont="1" applyAlignment="1">
      <alignment vertical="center"/>
    </xf>
    <xf numFmtId="0" fontId="0" fillId="0" borderId="0" xfId="0" applyFont="1" applyFill="1" applyAlignment="1">
      <alignment vertical="center"/>
    </xf>
    <xf numFmtId="41" fontId="0" fillId="0" borderId="0" xfId="1" applyFont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41" fontId="0" fillId="0" borderId="0" xfId="1" applyFont="1" applyAlignment="1">
      <alignment horizontal="center" vertical="center" shrinkToFit="1"/>
    </xf>
    <xf numFmtId="0" fontId="5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18" xfId="0" quotePrefix="1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 wrapText="1"/>
    </xf>
    <xf numFmtId="41" fontId="0" fillId="0" borderId="0" xfId="1" applyFont="1" applyAlignment="1">
      <alignment horizontal="left" vertical="center"/>
    </xf>
    <xf numFmtId="41" fontId="5" fillId="0" borderId="28" xfId="1" applyFont="1" applyBorder="1" applyAlignment="1">
      <alignment horizontal="center" vertical="center" wrapText="1"/>
    </xf>
    <xf numFmtId="41" fontId="4" fillId="3" borderId="29" xfId="1" applyFont="1" applyFill="1" applyBorder="1" applyAlignment="1">
      <alignment horizontal="left" vertical="center" wrapText="1"/>
    </xf>
    <xf numFmtId="41" fontId="4" fillId="3" borderId="26" xfId="1" applyFont="1" applyFill="1" applyBorder="1" applyAlignment="1">
      <alignment horizontal="left" vertical="center" wrapText="1"/>
    </xf>
    <xf numFmtId="41" fontId="4" fillId="3" borderId="27" xfId="1" applyFont="1" applyFill="1" applyBorder="1" applyAlignment="1">
      <alignment horizontal="left" vertical="center" wrapText="1"/>
    </xf>
    <xf numFmtId="0" fontId="4" fillId="0" borderId="41" xfId="0" applyFont="1" applyBorder="1" applyAlignment="1">
      <alignment horizontal="justify" vertical="top" wrapText="1"/>
    </xf>
    <xf numFmtId="41" fontId="5" fillId="0" borderId="42" xfId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justify" vertical="top" wrapText="1"/>
    </xf>
    <xf numFmtId="0" fontId="4" fillId="3" borderId="45" xfId="0" applyFont="1" applyFill="1" applyBorder="1" applyAlignment="1">
      <alignment horizontal="justify" vertical="top" wrapText="1"/>
    </xf>
    <xf numFmtId="41" fontId="4" fillId="0" borderId="47" xfId="1" applyFont="1" applyBorder="1" applyAlignment="1">
      <alignment horizontal="left" vertical="center" wrapText="1"/>
    </xf>
    <xf numFmtId="41" fontId="4" fillId="0" borderId="48" xfId="1" applyFont="1" applyBorder="1" applyAlignment="1">
      <alignment horizontal="left" vertical="center" wrapText="1"/>
    </xf>
    <xf numFmtId="41" fontId="4" fillId="0" borderId="49" xfId="1" applyFont="1" applyBorder="1" applyAlignment="1">
      <alignment horizontal="left" vertical="center" wrapText="1"/>
    </xf>
    <xf numFmtId="0" fontId="4" fillId="0" borderId="50" xfId="0" applyFont="1" applyBorder="1" applyAlignment="1">
      <alignment horizontal="justify" vertical="top" wrapText="1"/>
    </xf>
    <xf numFmtId="41" fontId="5" fillId="0" borderId="23" xfId="1" applyFont="1" applyBorder="1" applyAlignment="1">
      <alignment horizontal="left" vertical="center" shrinkToFit="1"/>
    </xf>
    <xf numFmtId="41" fontId="5" fillId="0" borderId="14" xfId="1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justify" vertical="center" wrapText="1"/>
    </xf>
    <xf numFmtId="0" fontId="4" fillId="0" borderId="53" xfId="0" applyFont="1" applyBorder="1" applyAlignment="1">
      <alignment horizontal="justify" vertical="center" wrapText="1"/>
    </xf>
    <xf numFmtId="0" fontId="4" fillId="0" borderId="56" xfId="0" applyFont="1" applyBorder="1" applyAlignment="1">
      <alignment horizontal="justify" vertical="center" wrapText="1"/>
    </xf>
    <xf numFmtId="41" fontId="5" fillId="0" borderId="18" xfId="1" applyFont="1" applyBorder="1" applyAlignment="1">
      <alignment horizontal="justify" vertical="center" wrapText="1"/>
    </xf>
    <xf numFmtId="0" fontId="5" fillId="0" borderId="51" xfId="0" applyFont="1" applyBorder="1" applyAlignment="1">
      <alignment horizontal="justify" vertical="center" wrapText="1"/>
    </xf>
    <xf numFmtId="41" fontId="4" fillId="0" borderId="52" xfId="1" applyFont="1" applyFill="1" applyBorder="1" applyAlignment="1">
      <alignment horizontal="left" vertical="center" shrinkToFit="1"/>
    </xf>
    <xf numFmtId="41" fontId="4" fillId="0" borderId="0" xfId="1" applyFont="1" applyFill="1" applyBorder="1" applyAlignment="1">
      <alignment horizontal="justify" vertical="center" wrapText="1"/>
    </xf>
    <xf numFmtId="41" fontId="4" fillId="0" borderId="15" xfId="1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justify" vertical="center" wrapText="1"/>
    </xf>
    <xf numFmtId="41" fontId="4" fillId="0" borderId="54" xfId="1" applyFont="1" applyFill="1" applyBorder="1" applyAlignment="1">
      <alignment horizontal="left" vertical="center" shrinkToFit="1"/>
    </xf>
    <xf numFmtId="41" fontId="4" fillId="0" borderId="55" xfId="1" applyFont="1" applyFill="1" applyBorder="1" applyAlignment="1">
      <alignment horizontal="justify" vertical="center" wrapText="1"/>
    </xf>
    <xf numFmtId="41" fontId="4" fillId="0" borderId="13" xfId="1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justify" vertical="center" wrapText="1"/>
    </xf>
    <xf numFmtId="0" fontId="4" fillId="0" borderId="51" xfId="0" applyFont="1" applyFill="1" applyBorder="1" applyAlignment="1">
      <alignment horizontal="justify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quotePrefix="1" applyFont="1" applyBorder="1" applyAlignment="1">
      <alignment vertical="center" wrapText="1"/>
    </xf>
    <xf numFmtId="0" fontId="4" fillId="0" borderId="57" xfId="0" applyFont="1" applyBorder="1" applyAlignment="1">
      <alignment horizontal="justify" vertical="top" wrapText="1"/>
    </xf>
    <xf numFmtId="0" fontId="4" fillId="0" borderId="53" xfId="0" applyFont="1" applyBorder="1" applyAlignment="1">
      <alignment horizontal="justify" vertical="top" wrapText="1"/>
    </xf>
    <xf numFmtId="0" fontId="5" fillId="0" borderId="33" xfId="0" applyFont="1" applyBorder="1" applyAlignment="1">
      <alignment horizontal="right" vertical="center" shrinkToFit="1"/>
    </xf>
    <xf numFmtId="0" fontId="5" fillId="0" borderId="11" xfId="0" quotePrefix="1" applyFont="1" applyBorder="1" applyAlignment="1">
      <alignment horizontal="justify" vertical="center" shrinkToFit="1"/>
    </xf>
    <xf numFmtId="0" fontId="5" fillId="0" borderId="20" xfId="0" applyFont="1" applyBorder="1" applyAlignment="1">
      <alignment horizontal="right" vertical="center" shrinkToFit="1"/>
    </xf>
    <xf numFmtId="0" fontId="5" fillId="0" borderId="28" xfId="0" applyFont="1" applyBorder="1" applyAlignment="1">
      <alignment horizontal="justify" vertical="center" shrinkToFit="1"/>
    </xf>
    <xf numFmtId="0" fontId="5" fillId="0" borderId="39" xfId="0" quotePrefix="1" applyFont="1" applyBorder="1" applyAlignment="1">
      <alignment horizontal="justify" vertical="center" shrinkToFit="1"/>
    </xf>
    <xf numFmtId="0" fontId="5" fillId="0" borderId="34" xfId="0" applyFont="1" applyBorder="1" applyAlignment="1">
      <alignment horizontal="right" vertical="center" shrinkToFit="1"/>
    </xf>
    <xf numFmtId="0" fontId="5" fillId="0" borderId="25" xfId="0" quotePrefix="1" applyFont="1" applyBorder="1" applyAlignment="1">
      <alignment horizontal="justify" vertical="center" shrinkToFit="1"/>
    </xf>
    <xf numFmtId="0" fontId="7" fillId="0" borderId="0" xfId="0" applyFont="1" applyAlignment="1">
      <alignment horizontal="justify" vertical="center" shrinkToFit="1"/>
    </xf>
    <xf numFmtId="0" fontId="2" fillId="0" borderId="0" xfId="0" applyFont="1" applyAlignment="1">
      <alignment vertical="center" shrinkToFit="1"/>
    </xf>
    <xf numFmtId="41" fontId="2" fillId="0" borderId="0" xfId="1" applyFont="1" applyAlignment="1">
      <alignment vertical="center" shrinkToFit="1"/>
    </xf>
    <xf numFmtId="41" fontId="5" fillId="0" borderId="11" xfId="1" applyFont="1" applyBorder="1" applyAlignment="1">
      <alignment vertical="center" shrinkToFit="1"/>
    </xf>
    <xf numFmtId="41" fontId="5" fillId="0" borderId="36" xfId="1" applyFont="1" applyBorder="1" applyAlignment="1">
      <alignment vertical="center" shrinkToFit="1"/>
    </xf>
    <xf numFmtId="41" fontId="5" fillId="0" borderId="28" xfId="1" applyFont="1" applyBorder="1" applyAlignment="1">
      <alignment vertical="center" shrinkToFit="1"/>
    </xf>
    <xf numFmtId="41" fontId="5" fillId="0" borderId="15" xfId="1" applyFont="1" applyBorder="1" applyAlignment="1">
      <alignment vertical="center" shrinkToFit="1"/>
    </xf>
    <xf numFmtId="41" fontId="5" fillId="0" borderId="40" xfId="1" applyFont="1" applyBorder="1" applyAlignment="1">
      <alignment vertical="center" shrinkToFit="1"/>
    </xf>
    <xf numFmtId="41" fontId="5" fillId="0" borderId="46" xfId="1" applyFont="1" applyBorder="1" applyAlignment="1">
      <alignment vertical="center" shrinkToFit="1"/>
    </xf>
    <xf numFmtId="0" fontId="4" fillId="0" borderId="45" xfId="0" applyFont="1" applyBorder="1" applyAlignment="1">
      <alignment horizontal="justify" vertical="top" wrapText="1"/>
    </xf>
    <xf numFmtId="0" fontId="5" fillId="0" borderId="28" xfId="0" quotePrefix="1" applyFont="1" applyBorder="1" applyAlignment="1">
      <alignment horizontal="justify" vertical="center" shrinkToFit="1"/>
    </xf>
    <xf numFmtId="0" fontId="5" fillId="0" borderId="10" xfId="0" quotePrefix="1" applyFont="1" applyBorder="1" applyAlignment="1">
      <alignment horizontal="justify" vertical="center" shrinkToFit="1"/>
    </xf>
    <xf numFmtId="0" fontId="4" fillId="0" borderId="61" xfId="0" applyFont="1" applyBorder="1" applyAlignment="1">
      <alignment horizontal="justify" vertical="center" wrapText="1"/>
    </xf>
    <xf numFmtId="41" fontId="5" fillId="0" borderId="3" xfId="1" applyFont="1" applyBorder="1" applyAlignment="1">
      <alignment horizontal="center" vertical="center" shrinkToFit="1"/>
    </xf>
    <xf numFmtId="41" fontId="5" fillId="0" borderId="1" xfId="1" applyFont="1" applyBorder="1" applyAlignment="1">
      <alignment horizontal="right" vertical="center" shrinkToFit="1"/>
    </xf>
    <xf numFmtId="41" fontId="5" fillId="0" borderId="2" xfId="1" applyFont="1" applyBorder="1" applyAlignment="1">
      <alignment horizontal="right" vertical="center" shrinkToFit="1"/>
    </xf>
    <xf numFmtId="0" fontId="5" fillId="0" borderId="63" xfId="0" applyFont="1" applyBorder="1" applyAlignment="1">
      <alignment horizontal="justify" vertical="center" wrapText="1"/>
    </xf>
    <xf numFmtId="0" fontId="5" fillId="0" borderId="61" xfId="0" applyFont="1" applyBorder="1" applyAlignment="1">
      <alignment horizontal="justify" vertical="center" wrapText="1"/>
    </xf>
    <xf numFmtId="41" fontId="9" fillId="0" borderId="52" xfId="1" applyFont="1" applyFill="1" applyBorder="1" applyAlignment="1">
      <alignment horizontal="left" vertical="center" shrinkToFit="1"/>
    </xf>
    <xf numFmtId="41" fontId="9" fillId="0" borderId="0" xfId="1" applyFont="1" applyFill="1" applyBorder="1" applyAlignment="1">
      <alignment horizontal="center" vertical="center" wrapText="1"/>
    </xf>
    <xf numFmtId="41" fontId="9" fillId="0" borderId="15" xfId="1" applyFont="1" applyFill="1" applyBorder="1" applyAlignment="1">
      <alignment horizontal="center" vertical="center" shrinkToFit="1"/>
    </xf>
    <xf numFmtId="0" fontId="9" fillId="0" borderId="53" xfId="0" applyFont="1" applyFill="1" applyBorder="1" applyAlignment="1">
      <alignment horizontal="justify" vertical="center" wrapText="1"/>
    </xf>
    <xf numFmtId="41" fontId="2" fillId="0" borderId="0" xfId="1" applyFont="1" applyAlignment="1">
      <alignment horizontal="right" vertical="center" shrinkToFit="1"/>
    </xf>
    <xf numFmtId="0" fontId="2" fillId="0" borderId="17" xfId="0" applyFont="1" applyBorder="1" applyAlignment="1">
      <alignment vertical="center"/>
    </xf>
    <xf numFmtId="41" fontId="5" fillId="0" borderId="2" xfId="1" applyFont="1" applyBorder="1" applyAlignment="1">
      <alignment horizontal="center" vertical="center" wrapText="1"/>
    </xf>
    <xf numFmtId="41" fontId="5" fillId="0" borderId="2" xfId="1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justify" vertical="center" wrapText="1"/>
    </xf>
    <xf numFmtId="41" fontId="5" fillId="0" borderId="62" xfId="1" applyFont="1" applyFill="1" applyBorder="1" applyAlignment="1">
      <alignment horizontal="left" vertical="center" shrinkToFit="1"/>
    </xf>
    <xf numFmtId="41" fontId="5" fillId="0" borderId="24" xfId="1" applyFont="1" applyFill="1" applyBorder="1" applyAlignment="1">
      <alignment horizontal="center" vertical="center" wrapText="1"/>
    </xf>
    <xf numFmtId="41" fontId="5" fillId="0" borderId="36" xfId="1" applyFont="1" applyFill="1" applyBorder="1" applyAlignment="1">
      <alignment horizontal="center" vertical="center" shrinkToFit="1"/>
    </xf>
    <xf numFmtId="41" fontId="4" fillId="0" borderId="0" xfId="1" applyFont="1" applyFill="1" applyBorder="1" applyAlignment="1">
      <alignment horizontal="left" vertical="center" wrapText="1"/>
    </xf>
    <xf numFmtId="41" fontId="4" fillId="0" borderId="26" xfId="1" applyFont="1" applyFill="1" applyBorder="1" applyAlignment="1">
      <alignment horizontal="left" vertical="center" wrapText="1"/>
    </xf>
    <xf numFmtId="41" fontId="4" fillId="0" borderId="27" xfId="1" applyFont="1" applyFill="1" applyBorder="1" applyAlignment="1">
      <alignment horizontal="left" vertical="center" wrapText="1"/>
    </xf>
    <xf numFmtId="41" fontId="5" fillId="0" borderId="23" xfId="1" applyFont="1" applyFill="1" applyBorder="1" applyAlignment="1">
      <alignment horizontal="left" vertical="center" shrinkToFit="1"/>
    </xf>
    <xf numFmtId="41" fontId="5" fillId="0" borderId="18" xfId="1" applyFont="1" applyFill="1" applyBorder="1" applyAlignment="1">
      <alignment horizontal="center" vertical="center" wrapText="1"/>
    </xf>
    <xf numFmtId="41" fontId="5" fillId="0" borderId="14" xfId="1" applyFont="1" applyFill="1" applyBorder="1" applyAlignment="1">
      <alignment horizontal="center" vertical="center" shrinkToFit="1"/>
    </xf>
    <xf numFmtId="41" fontId="5" fillId="0" borderId="35" xfId="1" applyFont="1" applyFill="1" applyBorder="1" applyAlignment="1">
      <alignment horizontal="left" vertical="center" shrinkToFit="1"/>
    </xf>
    <xf numFmtId="41" fontId="5" fillId="0" borderId="24" xfId="1" applyFont="1" applyFill="1" applyBorder="1" applyAlignment="1">
      <alignment horizontal="left" vertical="center" wrapText="1"/>
    </xf>
    <xf numFmtId="41" fontId="5" fillId="0" borderId="25" xfId="1" applyFont="1" applyFill="1" applyBorder="1" applyAlignment="1">
      <alignment horizontal="left" vertical="center" wrapText="1"/>
    </xf>
    <xf numFmtId="41" fontId="4" fillId="0" borderId="37" xfId="1" applyFont="1" applyFill="1" applyBorder="1" applyAlignment="1">
      <alignment horizontal="left" vertical="center" shrinkToFit="1"/>
    </xf>
    <xf numFmtId="41" fontId="4" fillId="0" borderId="39" xfId="1" applyFont="1" applyFill="1" applyBorder="1" applyAlignment="1">
      <alignment horizontal="left" vertical="center" wrapText="1"/>
    </xf>
    <xf numFmtId="41" fontId="4" fillId="0" borderId="29" xfId="1" applyFont="1" applyFill="1" applyBorder="1" applyAlignment="1">
      <alignment horizontal="left" vertical="center" shrinkToFit="1"/>
    </xf>
    <xf numFmtId="41" fontId="5" fillId="0" borderId="18" xfId="1" applyFont="1" applyFill="1" applyBorder="1" applyAlignment="1">
      <alignment horizontal="justify" vertical="center" wrapText="1"/>
    </xf>
    <xf numFmtId="41" fontId="5" fillId="0" borderId="52" xfId="1" applyFont="1" applyFill="1" applyBorder="1" applyAlignment="1">
      <alignment horizontal="left" vertical="center" shrinkToFit="1"/>
    </xf>
    <xf numFmtId="41" fontId="5" fillId="0" borderId="0" xfId="1" applyFont="1" applyFill="1" applyBorder="1" applyAlignment="1">
      <alignment horizontal="justify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41" fontId="5" fillId="0" borderId="2" xfId="1" applyFont="1" applyFill="1" applyBorder="1" applyAlignment="1">
      <alignment horizontal="justify" vertical="center" wrapText="1"/>
    </xf>
    <xf numFmtId="41" fontId="5" fillId="0" borderId="2" xfId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41" fontId="5" fillId="0" borderId="1" xfId="1" applyFont="1" applyFill="1" applyBorder="1" applyAlignment="1">
      <alignment horizontal="justify" vertical="center" wrapText="1"/>
    </xf>
    <xf numFmtId="41" fontId="5" fillId="0" borderId="1" xfId="1" applyFont="1" applyFill="1" applyBorder="1" applyAlignment="1">
      <alignment horizontal="right" vertical="center" shrinkToFit="1"/>
    </xf>
    <xf numFmtId="0" fontId="5" fillId="0" borderId="20" xfId="0" applyFont="1" applyFill="1" applyBorder="1" applyAlignment="1">
      <alignment horizontal="right" vertical="center" shrinkToFit="1"/>
    </xf>
    <xf numFmtId="0" fontId="0" fillId="0" borderId="0" xfId="0" applyFill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51" xfId="0" applyFont="1" applyFill="1" applyBorder="1" applyAlignment="1">
      <alignment horizontal="justify" vertical="center" wrapText="1"/>
    </xf>
    <xf numFmtId="41" fontId="5" fillId="0" borderId="52" xfId="1" applyFont="1" applyBorder="1" applyAlignment="1">
      <alignment horizontal="right" vertical="center" shrinkToFit="1"/>
    </xf>
    <xf numFmtId="41" fontId="5" fillId="0" borderId="52" xfId="1" applyFont="1" applyFill="1" applyBorder="1" applyAlignment="1">
      <alignment horizontal="right" vertical="center" shrinkToFit="1"/>
    </xf>
    <xf numFmtId="41" fontId="5" fillId="0" borderId="29" xfId="1" applyFont="1" applyFill="1" applyBorder="1" applyAlignment="1">
      <alignment horizontal="left" vertical="center" shrinkToFit="1"/>
    </xf>
    <xf numFmtId="0" fontId="4" fillId="0" borderId="69" xfId="0" applyFont="1" applyFill="1" applyBorder="1" applyAlignment="1">
      <alignment horizontal="justify" vertical="center" wrapText="1"/>
    </xf>
    <xf numFmtId="0" fontId="5" fillId="0" borderId="39" xfId="0" quotePrefix="1" applyFont="1" applyFill="1" applyBorder="1" applyAlignment="1">
      <alignment horizontal="justify" vertical="center" shrinkToFit="1"/>
    </xf>
    <xf numFmtId="41" fontId="5" fillId="0" borderId="28" xfId="1" applyFont="1" applyFill="1" applyBorder="1" applyAlignment="1">
      <alignment vertical="center" shrinkToFit="1"/>
    </xf>
    <xf numFmtId="0" fontId="4" fillId="0" borderId="53" xfId="0" applyFont="1" applyFill="1" applyBorder="1" applyAlignment="1">
      <alignment horizontal="justify" vertical="top" wrapText="1"/>
    </xf>
    <xf numFmtId="0" fontId="4" fillId="0" borderId="57" xfId="0" applyFont="1" applyFill="1" applyBorder="1" applyAlignment="1">
      <alignment horizontal="justify" vertical="top" wrapText="1"/>
    </xf>
    <xf numFmtId="176" fontId="5" fillId="0" borderId="15" xfId="1" applyNumberFormat="1" applyFont="1" applyFill="1" applyBorder="1" applyAlignment="1">
      <alignment horizontal="right" vertical="center" shrinkToFit="1"/>
    </xf>
    <xf numFmtId="0" fontId="2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0" xfId="0" quotePrefix="1" applyFont="1" applyBorder="1" applyAlignment="1">
      <alignment vertical="center" wrapText="1"/>
    </xf>
    <xf numFmtId="0" fontId="5" fillId="0" borderId="70" xfId="0" quotePrefix="1" applyFont="1" applyBorder="1" applyAlignment="1">
      <alignment vertical="center" wrapText="1"/>
    </xf>
    <xf numFmtId="177" fontId="5" fillId="0" borderId="1" xfId="1" applyNumberFormat="1" applyFont="1" applyBorder="1" applyAlignment="1">
      <alignment horizontal="right" vertical="center" wrapText="1"/>
    </xf>
    <xf numFmtId="41" fontId="5" fillId="0" borderId="43" xfId="1" applyFont="1" applyBorder="1" applyAlignment="1">
      <alignment horizontal="center" vertical="center" wrapText="1"/>
    </xf>
    <xf numFmtId="41" fontId="5" fillId="0" borderId="11" xfId="1" applyFont="1" applyBorder="1" applyAlignment="1">
      <alignment horizontal="justify" vertical="center" shrinkToFit="1"/>
    </xf>
    <xf numFmtId="41" fontId="5" fillId="0" borderId="28" xfId="1" applyFont="1" applyBorder="1" applyAlignment="1">
      <alignment horizontal="justify" vertical="center" shrinkToFit="1"/>
    </xf>
    <xf numFmtId="41" fontId="5" fillId="0" borderId="28" xfId="1" applyFont="1" applyFill="1" applyBorder="1" applyAlignment="1">
      <alignment horizontal="justify" vertical="center" shrinkToFit="1"/>
    </xf>
    <xf numFmtId="41" fontId="5" fillId="0" borderId="46" xfId="1" applyFont="1" applyBorder="1" applyAlignment="1">
      <alignment horizontal="justify" vertical="center" shrinkToFit="1"/>
    </xf>
    <xf numFmtId="41" fontId="4" fillId="0" borderId="0" xfId="1" applyFont="1" applyFill="1" applyBorder="1" applyAlignment="1">
      <alignment horizontal="left" vertical="center" shrinkToFit="1"/>
    </xf>
    <xf numFmtId="41" fontId="4" fillId="3" borderId="0" xfId="1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justify" vertical="top" wrapText="1"/>
    </xf>
    <xf numFmtId="41" fontId="5" fillId="3" borderId="42" xfId="1" applyFont="1" applyFill="1" applyBorder="1" applyAlignment="1">
      <alignment horizontal="justify" vertical="center" shrinkToFit="1"/>
    </xf>
    <xf numFmtId="41" fontId="5" fillId="3" borderId="42" xfId="1" applyFont="1" applyFill="1" applyBorder="1" applyAlignment="1">
      <alignment vertical="center" shrinkToFit="1"/>
    </xf>
    <xf numFmtId="41" fontId="4" fillId="3" borderId="72" xfId="1" applyFont="1" applyFill="1" applyBorder="1" applyAlignment="1">
      <alignment horizontal="left" vertical="center" wrapText="1"/>
    </xf>
    <xf numFmtId="41" fontId="4" fillId="3" borderId="59" xfId="1" applyFont="1" applyFill="1" applyBorder="1" applyAlignment="1">
      <alignment horizontal="left" vertical="center" wrapText="1"/>
    </xf>
    <xf numFmtId="41" fontId="4" fillId="3" borderId="60" xfId="1" applyFont="1" applyFill="1" applyBorder="1" applyAlignment="1">
      <alignment horizontal="left" vertical="center" wrapText="1"/>
    </xf>
    <xf numFmtId="0" fontId="4" fillId="3" borderId="73" xfId="0" applyFont="1" applyFill="1" applyBorder="1" applyAlignment="1">
      <alignment horizontal="justify" vertical="top" wrapText="1"/>
    </xf>
    <xf numFmtId="0" fontId="5" fillId="3" borderId="74" xfId="0" applyFont="1" applyFill="1" applyBorder="1" applyAlignment="1">
      <alignment horizontal="justify" vertical="center" shrinkToFit="1"/>
    </xf>
    <xf numFmtId="0" fontId="5" fillId="3" borderId="27" xfId="0" applyFont="1" applyFill="1" applyBorder="1" applyAlignment="1">
      <alignment horizontal="justify" vertical="center" shrinkToFit="1"/>
    </xf>
    <xf numFmtId="41" fontId="4" fillId="0" borderId="24" xfId="1" applyFont="1" applyFill="1" applyBorder="1" applyAlignment="1">
      <alignment horizontal="left" vertical="center" wrapText="1"/>
    </xf>
    <xf numFmtId="41" fontId="5" fillId="0" borderId="26" xfId="1" applyFont="1" applyFill="1" applyBorder="1" applyAlignment="1">
      <alignment horizontal="left" vertical="center" shrinkToFit="1"/>
    </xf>
    <xf numFmtId="0" fontId="4" fillId="0" borderId="58" xfId="0" applyFont="1" applyBorder="1" applyAlignment="1">
      <alignment horizontal="justify" vertical="top" wrapText="1"/>
    </xf>
    <xf numFmtId="41" fontId="5" fillId="0" borderId="35" xfId="1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justify" vertical="top" wrapText="1"/>
    </xf>
    <xf numFmtId="0" fontId="10" fillId="0" borderId="39" xfId="0" quotePrefix="1" applyFont="1" applyFill="1" applyBorder="1" applyAlignment="1">
      <alignment horizontal="justify" vertical="center" shrinkToFit="1"/>
    </xf>
    <xf numFmtId="0" fontId="4" fillId="0" borderId="44" xfId="0" applyFont="1" applyFill="1" applyBorder="1" applyAlignment="1">
      <alignment horizontal="justify" vertical="top" wrapText="1"/>
    </xf>
    <xf numFmtId="0" fontId="10" fillId="0" borderId="11" xfId="0" quotePrefix="1" applyFont="1" applyFill="1" applyBorder="1" applyAlignment="1">
      <alignment horizontal="justify" vertical="center" shrinkToFit="1"/>
    </xf>
    <xf numFmtId="0" fontId="10" fillId="0" borderId="10" xfId="0" quotePrefix="1" applyFont="1" applyFill="1" applyBorder="1" applyAlignment="1">
      <alignment horizontal="justify" vertical="center" shrinkToFit="1"/>
    </xf>
    <xf numFmtId="0" fontId="4" fillId="0" borderId="45" xfId="0" applyFont="1" applyFill="1" applyBorder="1" applyAlignment="1">
      <alignment horizontal="justify" vertical="top" wrapText="1"/>
    </xf>
    <xf numFmtId="0" fontId="5" fillId="0" borderId="11" xfId="0" quotePrefix="1" applyFont="1" applyFill="1" applyBorder="1" applyAlignment="1">
      <alignment horizontal="justify" vertical="center" shrinkToFit="1"/>
    </xf>
    <xf numFmtId="0" fontId="5" fillId="0" borderId="10" xfId="0" quotePrefix="1" applyFont="1" applyFill="1" applyBorder="1" applyAlignment="1">
      <alignment horizontal="justify" vertical="center" shrinkToFit="1"/>
    </xf>
    <xf numFmtId="41" fontId="5" fillId="0" borderId="29" xfId="1" applyFont="1" applyFill="1" applyBorder="1" applyAlignment="1">
      <alignment horizontal="left" vertical="center" wrapText="1"/>
    </xf>
    <xf numFmtId="0" fontId="5" fillId="0" borderId="49" xfId="0" quotePrefix="1" applyFont="1" applyBorder="1" applyAlignment="1">
      <alignment horizontal="justify" vertical="center" shrinkToFit="1"/>
    </xf>
    <xf numFmtId="0" fontId="4" fillId="0" borderId="75" xfId="0" applyFont="1" applyBorder="1" applyAlignment="1">
      <alignment horizontal="justify" vertical="top" wrapText="1"/>
    </xf>
    <xf numFmtId="0" fontId="4" fillId="3" borderId="58" xfId="0" applyFont="1" applyFill="1" applyBorder="1" applyAlignment="1">
      <alignment horizontal="justify" vertical="top" wrapText="1"/>
    </xf>
    <xf numFmtId="41" fontId="5" fillId="0" borderId="37" xfId="1" applyFont="1" applyFill="1" applyBorder="1" applyAlignment="1">
      <alignment horizontal="left" vertical="center" shrinkToFit="1"/>
    </xf>
    <xf numFmtId="0" fontId="10" fillId="0" borderId="27" xfId="0" quotePrefix="1" applyFont="1" applyBorder="1" applyAlignment="1">
      <alignment horizontal="justify" vertical="center" shrinkToFit="1"/>
    </xf>
    <xf numFmtId="41" fontId="4" fillId="0" borderId="37" xfId="1" applyFont="1" applyFill="1" applyBorder="1" applyAlignment="1">
      <alignment horizontal="left" vertical="center" wrapText="1"/>
    </xf>
    <xf numFmtId="41" fontId="5" fillId="0" borderId="35" xfId="1" applyFont="1" applyBorder="1" applyAlignment="1">
      <alignment horizontal="left" vertical="center" shrinkToFit="1"/>
    </xf>
    <xf numFmtId="41" fontId="4" fillId="0" borderId="24" xfId="1" applyFont="1" applyBorder="1" applyAlignment="1">
      <alignment horizontal="left" vertical="center" wrapText="1"/>
    </xf>
    <xf numFmtId="41" fontId="4" fillId="0" borderId="0" xfId="1" applyFont="1" applyBorder="1" applyAlignment="1">
      <alignment horizontal="left" vertical="center" wrapText="1"/>
    </xf>
    <xf numFmtId="41" fontId="5" fillId="0" borderId="37" xfId="1" applyFont="1" applyBorder="1" applyAlignment="1">
      <alignment horizontal="left" vertical="center" shrinkToFit="1"/>
    </xf>
    <xf numFmtId="41" fontId="4" fillId="0" borderId="39" xfId="1" applyFont="1" applyBorder="1" applyAlignment="1">
      <alignment horizontal="left" vertical="center" wrapText="1"/>
    </xf>
    <xf numFmtId="41" fontId="5" fillId="0" borderId="42" xfId="1" applyFont="1" applyBorder="1" applyAlignment="1">
      <alignment horizontal="justify" vertical="center" shrinkToFit="1"/>
    </xf>
    <xf numFmtId="41" fontId="5" fillId="0" borderId="42" xfId="1" applyFont="1" applyBorder="1" applyAlignment="1">
      <alignment vertical="center" shrinkToFit="1"/>
    </xf>
    <xf numFmtId="0" fontId="4" fillId="0" borderId="73" xfId="0" applyFont="1" applyBorder="1" applyAlignment="1">
      <alignment horizontal="justify" vertical="top" wrapText="1"/>
    </xf>
    <xf numFmtId="0" fontId="5" fillId="0" borderId="49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41" fontId="4" fillId="0" borderId="60" xfId="1" applyFont="1" applyBorder="1" applyAlignment="1">
      <alignment horizontal="left" vertical="center" wrapText="1"/>
    </xf>
    <xf numFmtId="41" fontId="4" fillId="0" borderId="72" xfId="1" applyFont="1" applyBorder="1" applyAlignment="1">
      <alignment horizontal="left" vertical="center" wrapText="1"/>
    </xf>
    <xf numFmtId="41" fontId="4" fillId="0" borderId="59" xfId="1" applyFont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41" fontId="4" fillId="3" borderId="52" xfId="1" applyFont="1" applyFill="1" applyBorder="1" applyAlignment="1">
      <alignment horizontal="left" vertical="center" shrinkToFit="1"/>
    </xf>
    <xf numFmtId="41" fontId="4" fillId="3" borderId="0" xfId="1" applyFont="1" applyFill="1" applyBorder="1" applyAlignment="1">
      <alignment horizontal="justify" vertical="center" wrapText="1"/>
    </xf>
    <xf numFmtId="41" fontId="4" fillId="3" borderId="15" xfId="1" applyFont="1" applyFill="1" applyBorder="1" applyAlignment="1">
      <alignment horizontal="center" vertical="center" shrinkToFit="1"/>
    </xf>
    <xf numFmtId="0" fontId="4" fillId="3" borderId="53" xfId="0" applyFont="1" applyFill="1" applyBorder="1" applyAlignment="1">
      <alignment horizontal="justify" vertical="center" wrapText="1"/>
    </xf>
    <xf numFmtId="41" fontId="5" fillId="3" borderId="3" xfId="1" applyFont="1" applyFill="1" applyBorder="1" applyAlignment="1">
      <alignment horizontal="justify" vertical="center" wrapText="1"/>
    </xf>
    <xf numFmtId="41" fontId="5" fillId="3" borderId="3" xfId="1" applyFont="1" applyFill="1" applyBorder="1" applyAlignment="1">
      <alignment horizontal="right" vertical="center" shrinkToFit="1"/>
    </xf>
    <xf numFmtId="41" fontId="4" fillId="3" borderId="77" xfId="1" applyFont="1" applyFill="1" applyBorder="1" applyAlignment="1">
      <alignment horizontal="left" vertical="center" shrinkToFit="1"/>
    </xf>
    <xf numFmtId="41" fontId="4" fillId="3" borderId="59" xfId="1" applyFont="1" applyFill="1" applyBorder="1" applyAlignment="1">
      <alignment horizontal="justify" vertical="center" wrapText="1"/>
    </xf>
    <xf numFmtId="41" fontId="4" fillId="3" borderId="12" xfId="1" applyFont="1" applyFill="1" applyBorder="1" applyAlignment="1">
      <alignment horizontal="center" vertical="center" shrinkToFit="1"/>
    </xf>
    <xf numFmtId="0" fontId="4" fillId="3" borderId="78" xfId="0" applyFont="1" applyFill="1" applyBorder="1" applyAlignment="1">
      <alignment horizontal="justify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177" fontId="5" fillId="3" borderId="3" xfId="1" applyNumberFormat="1" applyFont="1" applyFill="1" applyBorder="1" applyAlignment="1">
      <alignment horizontal="right" vertical="center" wrapText="1"/>
    </xf>
    <xf numFmtId="176" fontId="5" fillId="0" borderId="14" xfId="1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horizontal="justify" vertical="center" wrapText="1"/>
    </xf>
    <xf numFmtId="0" fontId="5" fillId="0" borderId="70" xfId="0" applyFont="1" applyFill="1" applyBorder="1" applyAlignment="1">
      <alignment vertical="center" shrinkToFit="1"/>
    </xf>
    <xf numFmtId="0" fontId="5" fillId="3" borderId="13" xfId="0" applyFont="1" applyFill="1" applyBorder="1" applyAlignment="1">
      <alignment horizontal="center" vertical="center" wrapText="1"/>
    </xf>
    <xf numFmtId="41" fontId="4" fillId="3" borderId="54" xfId="1" applyFont="1" applyFill="1" applyBorder="1" applyAlignment="1">
      <alignment horizontal="left" vertical="center" shrinkToFit="1"/>
    </xf>
    <xf numFmtId="41" fontId="4" fillId="3" borderId="55" xfId="1" applyFont="1" applyFill="1" applyBorder="1" applyAlignment="1">
      <alignment horizontal="justify" vertical="center" wrapText="1"/>
    </xf>
    <xf numFmtId="41" fontId="4" fillId="3" borderId="13" xfId="1" applyFont="1" applyFill="1" applyBorder="1" applyAlignment="1">
      <alignment horizontal="center" vertical="center" shrinkToFit="1"/>
    </xf>
    <xf numFmtId="0" fontId="4" fillId="3" borderId="56" xfId="0" applyFont="1" applyFill="1" applyBorder="1" applyAlignment="1">
      <alignment horizontal="justify" vertical="center" wrapText="1"/>
    </xf>
    <xf numFmtId="41" fontId="4" fillId="0" borderId="18" xfId="1" applyFont="1" applyBorder="1" applyAlignment="1">
      <alignment horizontal="justify" vertical="center" wrapText="1"/>
    </xf>
    <xf numFmtId="0" fontId="5" fillId="0" borderId="14" xfId="1" applyNumberFormat="1" applyFont="1" applyBorder="1" applyAlignment="1">
      <alignment horizontal="right" vertical="center" shrinkToFit="1"/>
    </xf>
    <xf numFmtId="0" fontId="5" fillId="0" borderId="79" xfId="0" quotePrefix="1" applyFont="1" applyBorder="1" applyAlignment="1">
      <alignment horizontal="left" vertical="center" wrapText="1"/>
    </xf>
    <xf numFmtId="41" fontId="5" fillId="0" borderId="54" xfId="1" applyFont="1" applyBorder="1" applyAlignment="1">
      <alignment horizontal="left" vertical="center" shrinkToFit="1"/>
    </xf>
    <xf numFmtId="41" fontId="4" fillId="0" borderId="55" xfId="1" applyFont="1" applyBorder="1" applyAlignment="1">
      <alignment horizontal="justify" vertical="center" wrapText="1"/>
    </xf>
    <xf numFmtId="0" fontId="5" fillId="0" borderId="13" xfId="1" applyNumberFormat="1" applyFont="1" applyBorder="1" applyAlignment="1">
      <alignment horizontal="right" vertical="center" shrinkToFit="1"/>
    </xf>
    <xf numFmtId="0" fontId="5" fillId="0" borderId="80" xfId="0" quotePrefix="1" applyFont="1" applyBorder="1" applyAlignment="1">
      <alignment horizontal="left" vertical="center" wrapText="1"/>
    </xf>
    <xf numFmtId="0" fontId="5" fillId="0" borderId="80" xfId="0" quotePrefix="1" applyFont="1" applyBorder="1" applyAlignment="1">
      <alignment horizontal="left" vertical="center" shrinkToFit="1"/>
    </xf>
    <xf numFmtId="0" fontId="5" fillId="0" borderId="79" xfId="0" quotePrefix="1" applyFont="1" applyBorder="1" applyAlignment="1">
      <alignment horizontal="left" vertical="center" shrinkToFit="1"/>
    </xf>
    <xf numFmtId="0" fontId="4" fillId="0" borderId="73" xfId="0" applyFont="1" applyBorder="1" applyAlignment="1">
      <alignment horizontal="justify" vertical="center" wrapText="1"/>
    </xf>
    <xf numFmtId="0" fontId="0" fillId="0" borderId="50" xfId="0" applyBorder="1" applyAlignment="1">
      <alignment vertical="center"/>
    </xf>
    <xf numFmtId="41" fontId="4" fillId="0" borderId="60" xfId="1" applyFont="1" applyBorder="1" applyAlignment="1">
      <alignment horizontal="center" vertical="center" shrinkToFit="1"/>
    </xf>
    <xf numFmtId="41" fontId="0" fillId="0" borderId="49" xfId="1" applyFont="1" applyBorder="1" applyAlignment="1">
      <alignment horizontal="center" vertical="center" shrinkToFit="1"/>
    </xf>
    <xf numFmtId="41" fontId="4" fillId="0" borderId="72" xfId="1" applyFont="1" applyBorder="1" applyAlignment="1">
      <alignment horizontal="left" vertical="center" shrinkToFit="1"/>
    </xf>
    <xf numFmtId="41" fontId="4" fillId="0" borderId="59" xfId="1" applyFont="1" applyBorder="1" applyAlignment="1">
      <alignment horizontal="justify" vertical="center" wrapText="1"/>
    </xf>
    <xf numFmtId="41" fontId="0" fillId="0" borderId="47" xfId="1" applyFont="1" applyBorder="1" applyAlignment="1">
      <alignment horizontal="left" vertical="center" shrinkToFit="1"/>
    </xf>
    <xf numFmtId="41" fontId="0" fillId="0" borderId="48" xfId="1" applyFont="1" applyBorder="1" applyAlignment="1">
      <alignment vertical="center"/>
    </xf>
    <xf numFmtId="0" fontId="2" fillId="0" borderId="76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1" fontId="5" fillId="0" borderId="11" xfId="1" applyNumberFormat="1" applyFont="1" applyFill="1" applyBorder="1" applyAlignment="1">
      <alignment horizontal="right" vertical="center" shrinkToFit="1"/>
    </xf>
    <xf numFmtId="0" fontId="10" fillId="0" borderId="28" xfId="0" quotePrefix="1" applyFont="1" applyBorder="1" applyAlignment="1">
      <alignment horizontal="justify" vertical="center" shrinkToFit="1"/>
    </xf>
    <xf numFmtId="1" fontId="5" fillId="3" borderId="42" xfId="1" applyNumberFormat="1" applyFont="1" applyFill="1" applyBorder="1" applyAlignment="1">
      <alignment horizontal="right" vertical="center" shrinkToFit="1"/>
    </xf>
    <xf numFmtId="49" fontId="5" fillId="3" borderId="2" xfId="1" applyNumberFormat="1" applyFont="1" applyFill="1" applyBorder="1" applyAlignment="1">
      <alignment horizontal="justify" vertical="center" wrapText="1"/>
    </xf>
    <xf numFmtId="49" fontId="5" fillId="3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justify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right" vertical="center" wrapText="1"/>
    </xf>
    <xf numFmtId="49" fontId="5" fillId="3" borderId="2" xfId="1" applyNumberFormat="1" applyFont="1" applyFill="1" applyBorder="1" applyAlignment="1">
      <alignment horizontal="right" vertical="center" wrapText="1"/>
    </xf>
    <xf numFmtId="49" fontId="5" fillId="0" borderId="64" xfId="1" applyNumberFormat="1" applyFont="1" applyBorder="1" applyAlignment="1">
      <alignment horizontal="center" vertical="center" wrapText="1"/>
    </xf>
    <xf numFmtId="0" fontId="5" fillId="0" borderId="66" xfId="0" quotePrefix="1" applyFont="1" applyBorder="1" applyAlignment="1">
      <alignment horizontal="left" vertical="center" wrapText="1"/>
    </xf>
    <xf numFmtId="49" fontId="5" fillId="0" borderId="64" xfId="1" applyNumberFormat="1" applyFont="1" applyBorder="1" applyAlignment="1">
      <alignment horizontal="right" vertical="center" wrapText="1"/>
    </xf>
    <xf numFmtId="41" fontId="5" fillId="0" borderId="65" xfId="1" applyFont="1" applyBorder="1" applyAlignment="1">
      <alignment horizontal="left" vertical="center" shrinkToFit="1"/>
    </xf>
    <xf numFmtId="41" fontId="4" fillId="0" borderId="48" xfId="1" applyFont="1" applyBorder="1" applyAlignment="1">
      <alignment horizontal="justify" vertical="center" wrapText="1"/>
    </xf>
    <xf numFmtId="0" fontId="5" fillId="0" borderId="66" xfId="1" applyNumberFormat="1" applyFont="1" applyBorder="1" applyAlignment="1">
      <alignment horizontal="right" vertical="center" shrinkToFit="1"/>
    </xf>
    <xf numFmtId="41" fontId="5" fillId="0" borderId="2" xfId="1" applyFont="1" applyBorder="1" applyAlignment="1">
      <alignment horizontal="right" vertical="center" wrapText="1"/>
    </xf>
    <xf numFmtId="177" fontId="5" fillId="0" borderId="42" xfId="1" applyNumberFormat="1" applyFont="1" applyBorder="1" applyAlignment="1">
      <alignment horizontal="right" vertical="center" wrapText="1"/>
    </xf>
    <xf numFmtId="49" fontId="11" fillId="0" borderId="46" xfId="1" applyNumberFormat="1" applyFont="1" applyBorder="1" applyAlignment="1">
      <alignment horizontal="center" vertical="center"/>
    </xf>
    <xf numFmtId="49" fontId="11" fillId="0" borderId="46" xfId="1" applyNumberFormat="1" applyFont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14" fillId="0" borderId="59" xfId="0" applyFont="1" applyBorder="1">
      <alignment vertical="center"/>
    </xf>
    <xf numFmtId="0" fontId="14" fillId="0" borderId="78" xfId="0" applyFont="1" applyBorder="1">
      <alignment vertical="center"/>
    </xf>
    <xf numFmtId="0" fontId="13" fillId="0" borderId="17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53" xfId="0" applyFont="1" applyBorder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18" fillId="0" borderId="53" xfId="0" applyFont="1" applyBorder="1" applyAlignment="1">
      <alignment horizontal="centerContinuous" vertical="center"/>
    </xf>
    <xf numFmtId="0" fontId="14" fillId="0" borderId="17" xfId="0" applyFont="1" applyBorder="1">
      <alignment vertical="center"/>
    </xf>
    <xf numFmtId="0" fontId="14" fillId="0" borderId="76" xfId="0" applyFont="1" applyBorder="1">
      <alignment vertical="center"/>
    </xf>
    <xf numFmtId="0" fontId="14" fillId="0" borderId="48" xfId="0" applyFont="1" applyBorder="1">
      <alignment vertical="center"/>
    </xf>
    <xf numFmtId="0" fontId="14" fillId="0" borderId="67" xfId="0" applyFont="1" applyBorder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1" fillId="0" borderId="17" xfId="0" applyFont="1" applyBorder="1">
      <alignment vertical="center"/>
    </xf>
    <xf numFmtId="0" fontId="21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20" fillId="0" borderId="53" xfId="0" applyFont="1" applyBorder="1">
      <alignment vertical="center"/>
    </xf>
    <xf numFmtId="41" fontId="21" fillId="0" borderId="0" xfId="0" applyNumberFormat="1" applyFont="1" applyBorder="1">
      <alignment vertical="center"/>
    </xf>
    <xf numFmtId="0" fontId="21" fillId="0" borderId="53" xfId="0" applyFont="1" applyBorder="1">
      <alignment vertical="center"/>
    </xf>
    <xf numFmtId="0" fontId="21" fillId="0" borderId="76" xfId="0" applyFont="1" applyBorder="1">
      <alignment vertical="center"/>
    </xf>
    <xf numFmtId="0" fontId="21" fillId="0" borderId="48" xfId="0" applyFont="1" applyBorder="1">
      <alignment vertical="center"/>
    </xf>
    <xf numFmtId="0" fontId="21" fillId="0" borderId="67" xfId="0" applyFont="1" applyBorder="1">
      <alignment vertical="center"/>
    </xf>
    <xf numFmtId="41" fontId="5" fillId="0" borderId="24" xfId="1" applyFont="1" applyFill="1" applyBorder="1" applyAlignment="1">
      <alignment horizontal="left" vertical="center" shrinkToFit="1"/>
    </xf>
    <xf numFmtId="0" fontId="5" fillId="0" borderId="22" xfId="0" applyFont="1" applyFill="1" applyBorder="1" applyAlignment="1">
      <alignment horizontal="left" vertical="center" wrapText="1"/>
    </xf>
    <xf numFmtId="41" fontId="4" fillId="0" borderId="0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top" wrapText="1"/>
    </xf>
    <xf numFmtId="41" fontId="4" fillId="0" borderId="55" xfId="1" applyFont="1" applyFill="1" applyBorder="1" applyAlignment="1">
      <alignment horizontal="center" vertical="center" wrapText="1"/>
    </xf>
    <xf numFmtId="41" fontId="4" fillId="0" borderId="18" xfId="1" applyFont="1" applyFill="1" applyBorder="1" applyAlignment="1">
      <alignment horizontal="justify" vertical="center" wrapText="1"/>
    </xf>
    <xf numFmtId="41" fontId="4" fillId="0" borderId="68" xfId="1" applyFont="1" applyFill="1" applyBorder="1" applyAlignment="1">
      <alignment horizontal="left" vertical="center" shrinkToFit="1"/>
    </xf>
    <xf numFmtId="41" fontId="4" fillId="0" borderId="26" xfId="1" applyFont="1" applyFill="1" applyBorder="1" applyAlignment="1">
      <alignment horizontal="justify" vertical="center" wrapText="1"/>
    </xf>
    <xf numFmtId="41" fontId="4" fillId="0" borderId="38" xfId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justify" vertical="center" wrapText="1"/>
    </xf>
    <xf numFmtId="41" fontId="4" fillId="0" borderId="27" xfId="1" applyFont="1" applyFill="1" applyBorder="1" applyAlignment="1">
      <alignment horizontal="center" vertical="center" shrinkToFit="1"/>
    </xf>
    <xf numFmtId="41" fontId="5" fillId="0" borderId="26" xfId="1" applyFont="1" applyFill="1" applyBorder="1" applyAlignment="1">
      <alignment horizontal="justify" vertical="center" wrapText="1"/>
    </xf>
    <xf numFmtId="41" fontId="5" fillId="0" borderId="12" xfId="1" applyFont="1" applyBorder="1" applyAlignment="1">
      <alignment vertical="center" shrinkToFit="1"/>
    </xf>
    <xf numFmtId="41" fontId="5" fillId="0" borderId="15" xfId="1" applyFont="1" applyFill="1" applyBorder="1" applyAlignment="1">
      <alignment horizontal="center" vertical="center" shrinkToFit="1"/>
    </xf>
    <xf numFmtId="0" fontId="5" fillId="0" borderId="15" xfId="0" quotePrefix="1" applyFont="1" applyBorder="1" applyAlignment="1">
      <alignment vertical="center" wrapText="1"/>
    </xf>
    <xf numFmtId="41" fontId="5" fillId="0" borderId="81" xfId="1" applyFont="1" applyFill="1" applyBorder="1" applyAlignment="1">
      <alignment horizontal="left" vertical="center" shrinkToFit="1"/>
    </xf>
    <xf numFmtId="41" fontId="5" fillId="0" borderId="11" xfId="1" applyFont="1" applyFill="1" applyBorder="1" applyAlignment="1">
      <alignment horizontal="right" vertical="center" shrinkToFit="1"/>
    </xf>
    <xf numFmtId="0" fontId="5" fillId="0" borderId="15" xfId="0" quotePrefix="1" applyFont="1" applyFill="1" applyBorder="1" applyAlignment="1">
      <alignment horizontal="left" vertical="top" wrapText="1"/>
    </xf>
    <xf numFmtId="0" fontId="4" fillId="0" borderId="58" xfId="0" applyFont="1" applyBorder="1" applyAlignment="1">
      <alignment horizontal="justify" vertical="center" wrapText="1"/>
    </xf>
    <xf numFmtId="41" fontId="5" fillId="0" borderId="25" xfId="1" applyFont="1" applyFill="1" applyBorder="1" applyAlignment="1">
      <alignment horizontal="right" vertical="center" shrinkToFit="1"/>
    </xf>
    <xf numFmtId="0" fontId="4" fillId="0" borderId="41" xfId="0" applyFont="1" applyBorder="1" applyAlignment="1">
      <alignment horizontal="justify" vertical="center" wrapText="1"/>
    </xf>
    <xf numFmtId="0" fontId="4" fillId="0" borderId="45" xfId="0" applyFont="1" applyBorder="1" applyAlignment="1">
      <alignment horizontal="justify" vertical="center" wrapText="1"/>
    </xf>
    <xf numFmtId="0" fontId="4" fillId="0" borderId="83" xfId="0" applyFont="1" applyBorder="1" applyAlignment="1">
      <alignment horizontal="justify" vertical="center" wrapText="1"/>
    </xf>
    <xf numFmtId="41" fontId="5" fillId="0" borderId="14" xfId="1" applyFont="1" applyFill="1" applyBorder="1" applyAlignment="1">
      <alignment horizontal="right" vertical="center" shrinkToFit="1"/>
    </xf>
    <xf numFmtId="0" fontId="0" fillId="4" borderId="0" xfId="0" applyFill="1">
      <alignment vertical="center"/>
    </xf>
    <xf numFmtId="0" fontId="5" fillId="0" borderId="28" xfId="1" applyNumberFormat="1" applyFont="1" applyBorder="1" applyAlignment="1">
      <alignment vertical="center" shrinkToFit="1"/>
    </xf>
    <xf numFmtId="0" fontId="5" fillId="0" borderId="28" xfId="1" applyNumberFormat="1" applyFont="1" applyBorder="1" applyAlignment="1">
      <alignment horizontal="justify" vertical="center" shrinkToFit="1"/>
    </xf>
    <xf numFmtId="3" fontId="0" fillId="0" borderId="0" xfId="0" applyNumberFormat="1" applyAlignment="1">
      <alignment vertical="center"/>
    </xf>
    <xf numFmtId="41" fontId="4" fillId="0" borderId="14" xfId="1" applyFont="1" applyFill="1" applyBorder="1" applyAlignment="1">
      <alignment horizontal="right" vertical="center" shrinkToFit="1"/>
    </xf>
    <xf numFmtId="41" fontId="5" fillId="3" borderId="42" xfId="1" applyFont="1" applyFill="1" applyBorder="1" applyAlignment="1">
      <alignment horizontal="right" vertical="center" shrinkToFit="1"/>
    </xf>
    <xf numFmtId="0" fontId="5" fillId="0" borderId="15" xfId="0" applyFont="1" applyBorder="1" applyAlignment="1">
      <alignment horizontal="center" vertical="top" wrapText="1"/>
    </xf>
    <xf numFmtId="41" fontId="4" fillId="4" borderId="52" xfId="1" applyFont="1" applyFill="1" applyBorder="1" applyAlignment="1">
      <alignment horizontal="left" vertical="center" shrinkToFit="1"/>
    </xf>
    <xf numFmtId="41" fontId="4" fillId="4" borderId="15" xfId="1" applyFont="1" applyFill="1" applyBorder="1" applyAlignment="1">
      <alignment horizontal="center" vertical="center" shrinkToFit="1"/>
    </xf>
    <xf numFmtId="41" fontId="4" fillId="0" borderId="84" xfId="1" applyFont="1" applyFill="1" applyBorder="1" applyAlignment="1">
      <alignment horizontal="left"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4" fillId="0" borderId="82" xfId="1" applyFont="1" applyFill="1" applyBorder="1" applyAlignment="1">
      <alignment horizontal="left" vertical="center" wrapText="1"/>
    </xf>
    <xf numFmtId="41" fontId="5" fillId="0" borderId="85" xfId="1" applyFont="1" applyFill="1" applyBorder="1" applyAlignment="1">
      <alignment horizontal="center" vertical="center" shrinkToFit="1"/>
    </xf>
    <xf numFmtId="41" fontId="5" fillId="0" borderId="82" xfId="1" applyFont="1" applyFill="1" applyBorder="1" applyAlignment="1">
      <alignment horizontal="left" vertical="center" wrapText="1"/>
    </xf>
    <xf numFmtId="41" fontId="5" fillId="0" borderId="0" xfId="1" applyFont="1" applyBorder="1" applyAlignment="1">
      <alignment vertical="center" shrinkToFit="1"/>
    </xf>
    <xf numFmtId="0" fontId="10" fillId="0" borderId="24" xfId="0" quotePrefix="1" applyFont="1" applyFill="1" applyBorder="1" applyAlignment="1">
      <alignment horizontal="justify" vertical="center" shrinkToFit="1"/>
    </xf>
    <xf numFmtId="41" fontId="5" fillId="0" borderId="28" xfId="1" applyFont="1" applyFill="1" applyBorder="1" applyAlignment="1">
      <alignment horizontal="right" vertical="center" shrinkToFit="1"/>
    </xf>
    <xf numFmtId="1" fontId="5" fillId="0" borderId="28" xfId="1" applyNumberFormat="1" applyFont="1" applyFill="1" applyBorder="1" applyAlignment="1">
      <alignment horizontal="right" vertical="center" shrinkToFit="1"/>
    </xf>
    <xf numFmtId="1" fontId="5" fillId="0" borderId="24" xfId="1" applyNumberFormat="1" applyFont="1" applyFill="1" applyBorder="1" applyAlignment="1">
      <alignment horizontal="right" vertical="center" shrinkToFit="1"/>
    </xf>
    <xf numFmtId="41" fontId="5" fillId="0" borderId="25" xfId="1" applyFont="1" applyBorder="1" applyAlignment="1">
      <alignment vertical="center" shrinkToFit="1"/>
    </xf>
    <xf numFmtId="41" fontId="5" fillId="0" borderId="82" xfId="1" applyFont="1" applyFill="1" applyBorder="1" applyAlignment="1">
      <alignment horizontal="justify" vertical="center" wrapText="1"/>
    </xf>
    <xf numFmtId="41" fontId="5" fillId="0" borderId="87" xfId="1" applyFont="1" applyFill="1" applyBorder="1" applyAlignment="1">
      <alignment horizontal="right" vertical="center" shrinkToFit="1"/>
    </xf>
    <xf numFmtId="41" fontId="5" fillId="0" borderId="14" xfId="1" applyFont="1" applyBorder="1" applyAlignment="1">
      <alignment horizontal="right" vertical="center" shrinkToFit="1"/>
    </xf>
    <xf numFmtId="41" fontId="5" fillId="0" borderId="13" xfId="1" applyFont="1" applyBorder="1" applyAlignment="1">
      <alignment horizontal="right" vertical="center" shrinkToFit="1"/>
    </xf>
    <xf numFmtId="41" fontId="4" fillId="4" borderId="0" xfId="1" applyFont="1" applyFill="1" applyBorder="1" applyAlignment="1">
      <alignment horizontal="center" vertical="center" wrapText="1"/>
    </xf>
    <xf numFmtId="41" fontId="4" fillId="4" borderId="0" xfId="1" applyFont="1" applyFill="1" applyBorder="1" applyAlignment="1">
      <alignment horizontal="justify" vertical="center" wrapText="1"/>
    </xf>
    <xf numFmtId="41" fontId="4" fillId="4" borderId="0" xfId="1" applyFont="1" applyFill="1" applyBorder="1" applyAlignment="1">
      <alignment horizontal="left" vertical="center" wrapText="1"/>
    </xf>
    <xf numFmtId="41" fontId="4" fillId="4" borderId="0" xfId="1" applyFont="1" applyFill="1" applyBorder="1" applyAlignment="1">
      <alignment horizontal="left" vertical="center" shrinkToFit="1"/>
    </xf>
    <xf numFmtId="41" fontId="4" fillId="4" borderId="54" xfId="1" applyFont="1" applyFill="1" applyBorder="1" applyAlignment="1">
      <alignment horizontal="left" vertical="center" shrinkToFit="1"/>
    </xf>
    <xf numFmtId="41" fontId="4" fillId="4" borderId="26" xfId="1" applyFont="1" applyFill="1" applyBorder="1" applyAlignment="1">
      <alignment horizontal="left" vertical="center" wrapText="1"/>
    </xf>
    <xf numFmtId="41" fontId="4" fillId="4" borderId="27" xfId="1" applyFont="1" applyFill="1" applyBorder="1" applyAlignment="1">
      <alignment horizontal="left" vertical="center" wrapText="1"/>
    </xf>
    <xf numFmtId="41" fontId="5" fillId="4" borderId="23" xfId="1" applyFont="1" applyFill="1" applyBorder="1" applyAlignment="1">
      <alignment horizontal="left" vertical="center" shrinkToFit="1"/>
    </xf>
    <xf numFmtId="41" fontId="5" fillId="4" borderId="18" xfId="1" applyFont="1" applyFill="1" applyBorder="1" applyAlignment="1">
      <alignment horizontal="center" vertical="center" wrapText="1"/>
    </xf>
    <xf numFmtId="41" fontId="5" fillId="4" borderId="14" xfId="1" applyFont="1" applyFill="1" applyBorder="1" applyAlignment="1">
      <alignment horizontal="center" vertical="center" shrinkToFit="1"/>
    </xf>
    <xf numFmtId="41" fontId="4" fillId="4" borderId="0" xfId="1" applyFont="1" applyFill="1" applyBorder="1" applyAlignment="1">
      <alignment horizontal="center" vertical="center" shrinkToFit="1"/>
    </xf>
    <xf numFmtId="41" fontId="4" fillId="4" borderId="86" xfId="1" applyFont="1" applyFill="1" applyBorder="1" applyAlignment="1">
      <alignment horizontal="left" vertical="center" shrinkToFit="1"/>
    </xf>
    <xf numFmtId="41" fontId="4" fillId="4" borderId="55" xfId="1" applyFont="1" applyFill="1" applyBorder="1" applyAlignment="1">
      <alignment horizontal="justify" vertical="center" wrapText="1"/>
    </xf>
    <xf numFmtId="41" fontId="4" fillId="4" borderId="13" xfId="1" applyFont="1" applyFill="1" applyBorder="1" applyAlignment="1">
      <alignment horizontal="center" vertical="center" shrinkToFit="1"/>
    </xf>
    <xf numFmtId="41" fontId="5" fillId="4" borderId="18" xfId="1" applyFont="1" applyFill="1" applyBorder="1" applyAlignment="1">
      <alignment horizontal="justify" vertical="center" wrapText="1"/>
    </xf>
    <xf numFmtId="41" fontId="4" fillId="4" borderId="18" xfId="1" applyFont="1" applyFill="1" applyBorder="1" applyAlignment="1">
      <alignment horizontal="justify" vertical="center" wrapText="1"/>
    </xf>
    <xf numFmtId="41" fontId="5" fillId="0" borderId="0" xfId="1" applyFont="1" applyFill="1" applyBorder="1" applyAlignment="1">
      <alignment horizontal="left" vertical="center" wrapText="1"/>
    </xf>
    <xf numFmtId="41" fontId="4" fillId="4" borderId="86" xfId="1" applyFont="1" applyFill="1" applyBorder="1" applyAlignment="1">
      <alignment horizontal="left" vertical="center" wrapText="1"/>
    </xf>
    <xf numFmtId="41" fontId="4" fillId="4" borderId="86" xfId="1" applyFont="1" applyFill="1" applyBorder="1" applyAlignment="1">
      <alignment horizontal="right" vertical="center" shrinkToFit="1"/>
    </xf>
    <xf numFmtId="41" fontId="4" fillId="4" borderId="37" xfId="1" applyFont="1" applyFill="1" applyBorder="1" applyAlignment="1">
      <alignment horizontal="left" vertical="center" shrinkToFit="1"/>
    </xf>
    <xf numFmtId="41" fontId="4" fillId="4" borderId="39" xfId="1" applyFont="1" applyFill="1" applyBorder="1" applyAlignment="1">
      <alignment horizontal="left" vertical="center" wrapText="1"/>
    </xf>
    <xf numFmtId="41" fontId="5" fillId="0" borderId="14" xfId="1" applyNumberFormat="1" applyFont="1" applyBorder="1" applyAlignment="1">
      <alignment horizontal="right" vertical="center" shrinkToFit="1"/>
    </xf>
    <xf numFmtId="41" fontId="5" fillId="3" borderId="12" xfId="1" applyFont="1" applyFill="1" applyBorder="1" applyAlignment="1">
      <alignment horizontal="center" vertical="center" shrinkToFit="1"/>
    </xf>
    <xf numFmtId="41" fontId="4" fillId="4" borderId="52" xfId="1" applyFont="1" applyFill="1" applyBorder="1" applyAlignment="1">
      <alignment horizontal="left" vertical="center" wrapText="1" shrinkToFit="1"/>
    </xf>
    <xf numFmtId="0" fontId="5" fillId="0" borderId="14" xfId="0" quotePrefix="1" applyFont="1" applyBorder="1" applyAlignment="1">
      <alignment horizontal="left" vertical="top" wrapText="1" shrinkToFit="1"/>
    </xf>
    <xf numFmtId="41" fontId="4" fillId="0" borderId="52" xfId="1" applyFont="1" applyFill="1" applyBorder="1" applyAlignment="1">
      <alignment horizontal="left" vertical="center" wrapText="1" shrinkToFit="1"/>
    </xf>
    <xf numFmtId="41" fontId="4" fillId="4" borderId="55" xfId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justify" vertical="center" wrapText="1"/>
    </xf>
    <xf numFmtId="41" fontId="4" fillId="0" borderId="39" xfId="1" applyFont="1" applyFill="1" applyBorder="1" applyAlignment="1">
      <alignment horizontal="right" vertical="center" shrinkToFit="1"/>
    </xf>
    <xf numFmtId="41" fontId="5" fillId="0" borderId="88" xfId="1" applyFont="1" applyFill="1" applyBorder="1" applyAlignment="1">
      <alignment horizontal="right" vertical="center" shrinkToFit="1"/>
    </xf>
    <xf numFmtId="0" fontId="4" fillId="0" borderId="83" xfId="0" applyFont="1" applyBorder="1" applyAlignment="1">
      <alignment horizontal="justify" vertical="top" wrapText="1"/>
    </xf>
    <xf numFmtId="41" fontId="4" fillId="0" borderId="15" xfId="1" applyFont="1" applyFill="1" applyBorder="1" applyAlignment="1">
      <alignment horizontal="right" vertical="center" shrinkToFit="1"/>
    </xf>
    <xf numFmtId="41" fontId="4" fillId="0" borderId="15" xfId="1" applyFont="1" applyBorder="1" applyAlignment="1">
      <alignment horizontal="center" vertical="center" shrinkToFit="1"/>
    </xf>
    <xf numFmtId="41" fontId="4" fillId="0" borderId="52" xfId="1" applyFont="1" applyBorder="1" applyAlignment="1">
      <alignment horizontal="left" vertical="center" shrinkToFit="1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" fillId="3" borderId="71" xfId="0" applyFont="1" applyFill="1" applyBorder="1" applyAlignment="1">
      <alignment horizontal="justify" vertical="center" shrinkToFit="1"/>
    </xf>
    <xf numFmtId="0" fontId="5" fillId="3" borderId="42" xfId="0" applyFont="1" applyFill="1" applyBorder="1" applyAlignment="1">
      <alignment horizontal="justify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23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justify" vertical="center" shrinkToFit="1"/>
    </xf>
    <xf numFmtId="0" fontId="5" fillId="3" borderId="60" xfId="0" applyFont="1" applyFill="1" applyBorder="1" applyAlignment="1">
      <alignment horizontal="justify" vertical="center" shrinkToFit="1"/>
    </xf>
    <xf numFmtId="41" fontId="5" fillId="0" borderId="59" xfId="1" applyFont="1" applyBorder="1" applyAlignment="1">
      <alignment horizontal="center" vertical="center" wrapText="1"/>
    </xf>
    <xf numFmtId="41" fontId="5" fillId="0" borderId="60" xfId="1" applyFont="1" applyBorder="1" applyAlignment="1">
      <alignment horizontal="center" vertical="center" wrapText="1"/>
    </xf>
    <xf numFmtId="41" fontId="5" fillId="0" borderId="48" xfId="1" applyFont="1" applyBorder="1" applyAlignment="1">
      <alignment horizontal="center" vertical="center" wrapText="1"/>
    </xf>
    <xf numFmtId="41" fontId="5" fillId="0" borderId="49" xfId="1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41" fontId="5" fillId="0" borderId="4" xfId="1" applyFont="1" applyBorder="1" applyAlignment="1">
      <alignment horizontal="center" vertical="center" wrapText="1"/>
    </xf>
    <xf numFmtId="41" fontId="5" fillId="0" borderId="5" xfId="1" applyFont="1" applyBorder="1" applyAlignment="1">
      <alignment horizontal="center" vertical="center" wrapText="1"/>
    </xf>
    <xf numFmtId="41" fontId="5" fillId="0" borderId="6" xfId="1" applyFont="1" applyBorder="1" applyAlignment="1">
      <alignment horizontal="center" vertical="center" wrapText="1"/>
    </xf>
    <xf numFmtId="41" fontId="5" fillId="0" borderId="23" xfId="1" applyFont="1" applyBorder="1" applyAlignment="1">
      <alignment horizontal="center" vertical="center" wrapText="1"/>
    </xf>
    <xf numFmtId="41" fontId="5" fillId="0" borderId="18" xfId="1" applyFont="1" applyBorder="1" applyAlignment="1">
      <alignment horizontal="center" vertical="center" wrapText="1"/>
    </xf>
    <xf numFmtId="41" fontId="5" fillId="0" borderId="14" xfId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9" xfId="0" quotePrefix="1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4" xfId="0" quotePrefix="1" applyFont="1" applyBorder="1" applyAlignment="1">
      <alignment horizontal="center" vertical="top" wrapText="1"/>
    </xf>
    <xf numFmtId="0" fontId="5" fillId="0" borderId="15" xfId="0" quotePrefix="1" applyFont="1" applyBorder="1" applyAlignment="1">
      <alignment horizontal="center" vertical="top" wrapText="1"/>
    </xf>
    <xf numFmtId="0" fontId="5" fillId="0" borderId="14" xfId="0" quotePrefix="1" applyFont="1" applyFill="1" applyBorder="1" applyAlignment="1">
      <alignment horizontal="left" vertical="top" wrapText="1"/>
    </xf>
    <xf numFmtId="0" fontId="5" fillId="0" borderId="15" xfId="0" quotePrefix="1" applyFont="1" applyFill="1" applyBorder="1" applyAlignment="1">
      <alignment horizontal="left" vertical="top" wrapText="1"/>
    </xf>
    <xf numFmtId="0" fontId="5" fillId="0" borderId="1" xfId="0" quotePrefix="1" applyFont="1" applyBorder="1" applyAlignment="1">
      <alignment horizontal="center" vertical="top" wrapText="1"/>
    </xf>
    <xf numFmtId="0" fontId="5" fillId="0" borderId="2" xfId="0" quotePrefix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workbookViewId="0">
      <selection activeCell="D11" sqref="D11"/>
    </sheetView>
  </sheetViews>
  <sheetFormatPr defaultRowHeight="16.5"/>
  <cols>
    <col min="1" max="4" width="9" style="266"/>
    <col min="5" max="5" width="77.375" style="266" customWidth="1"/>
  </cols>
  <sheetData>
    <row r="1" spans="1:5">
      <c r="A1" s="250"/>
      <c r="B1" s="251"/>
      <c r="C1" s="251"/>
      <c r="D1" s="251"/>
      <c r="E1" s="252"/>
    </row>
    <row r="2" spans="1:5">
      <c r="A2" s="253"/>
      <c r="B2" s="254"/>
      <c r="C2" s="254"/>
      <c r="D2" s="254"/>
      <c r="E2" s="255"/>
    </row>
    <row r="3" spans="1:5">
      <c r="A3" s="253"/>
      <c r="B3" s="254"/>
      <c r="C3" s="254"/>
      <c r="D3" s="254"/>
      <c r="E3" s="255"/>
    </row>
    <row r="4" spans="1:5">
      <c r="A4" s="253"/>
      <c r="B4" s="254"/>
      <c r="C4" s="254"/>
      <c r="D4" s="254"/>
      <c r="E4" s="255"/>
    </row>
    <row r="5" spans="1:5" ht="33.75">
      <c r="A5" s="360" t="s">
        <v>247</v>
      </c>
      <c r="B5" s="361"/>
      <c r="C5" s="361"/>
      <c r="D5" s="361"/>
      <c r="E5" s="362"/>
    </row>
    <row r="6" spans="1:5" ht="35.25">
      <c r="A6" s="363" t="s">
        <v>246</v>
      </c>
      <c r="B6" s="364"/>
      <c r="C6" s="364"/>
      <c r="D6" s="364"/>
      <c r="E6" s="365"/>
    </row>
    <row r="7" spans="1:5" ht="27">
      <c r="A7" s="256"/>
      <c r="B7" s="257"/>
      <c r="C7" s="257"/>
      <c r="D7" s="257"/>
      <c r="E7" s="258"/>
    </row>
    <row r="8" spans="1:5" ht="27">
      <c r="A8" s="366"/>
      <c r="B8" s="367"/>
      <c r="C8" s="367"/>
      <c r="D8" s="367"/>
      <c r="E8" s="368"/>
    </row>
    <row r="9" spans="1:5" ht="27">
      <c r="A9" s="256"/>
      <c r="B9" s="257"/>
      <c r="C9" s="257"/>
      <c r="D9" s="257"/>
      <c r="E9" s="258"/>
    </row>
    <row r="10" spans="1:5" ht="27">
      <c r="A10" s="256"/>
      <c r="B10" s="257"/>
      <c r="C10" s="257"/>
      <c r="D10" s="257"/>
      <c r="E10" s="258"/>
    </row>
    <row r="11" spans="1:5" ht="213.75" customHeight="1">
      <c r="A11" s="256"/>
      <c r="B11" s="257"/>
      <c r="C11" s="257"/>
      <c r="D11" s="257"/>
      <c r="E11" s="258"/>
    </row>
    <row r="12" spans="1:5" ht="213.75" customHeight="1">
      <c r="A12" s="259"/>
      <c r="B12" s="260"/>
      <c r="C12" s="260"/>
      <c r="D12" s="260"/>
      <c r="E12" s="261"/>
    </row>
    <row r="13" spans="1:5" ht="213.75" customHeight="1">
      <c r="A13" s="262"/>
      <c r="B13" s="254"/>
      <c r="C13" s="254"/>
      <c r="D13" s="254"/>
      <c r="E13" s="255"/>
    </row>
    <row r="14" spans="1:5">
      <c r="A14" s="262"/>
      <c r="B14" s="254"/>
      <c r="C14" s="254"/>
      <c r="D14" s="254"/>
      <c r="E14" s="255"/>
    </row>
    <row r="15" spans="1:5">
      <c r="A15" s="262"/>
      <c r="B15" s="254"/>
      <c r="C15" s="254"/>
      <c r="D15" s="254"/>
      <c r="E15" s="255"/>
    </row>
    <row r="16" spans="1:5">
      <c r="A16" s="262"/>
      <c r="B16" s="254"/>
      <c r="C16" s="254"/>
      <c r="D16" s="254"/>
      <c r="E16" s="255"/>
    </row>
    <row r="17" spans="1:5">
      <c r="A17" s="262"/>
      <c r="B17" s="254"/>
      <c r="C17" s="254"/>
      <c r="D17" s="254"/>
      <c r="E17" s="255"/>
    </row>
    <row r="18" spans="1:5">
      <c r="A18" s="262"/>
      <c r="B18" s="254"/>
      <c r="C18" s="254"/>
      <c r="D18" s="254"/>
      <c r="E18" s="255"/>
    </row>
    <row r="19" spans="1:5" ht="31.5">
      <c r="A19" s="369" t="s">
        <v>141</v>
      </c>
      <c r="B19" s="370"/>
      <c r="C19" s="370"/>
      <c r="D19" s="370"/>
      <c r="E19" s="371"/>
    </row>
    <row r="20" spans="1:5">
      <c r="A20" s="262"/>
      <c r="B20" s="254"/>
      <c r="C20" s="254"/>
      <c r="D20" s="254"/>
      <c r="E20" s="255"/>
    </row>
    <row r="21" spans="1:5">
      <c r="A21" s="262"/>
      <c r="B21" s="254"/>
      <c r="C21" s="254"/>
      <c r="D21" s="254"/>
      <c r="E21" s="255"/>
    </row>
    <row r="22" spans="1:5" ht="17.25" thickBot="1">
      <c r="A22" s="263"/>
      <c r="B22" s="264"/>
      <c r="C22" s="264"/>
      <c r="D22" s="264"/>
      <c r="E22" s="265"/>
    </row>
  </sheetData>
  <mergeCells count="4">
    <mergeCell ref="A5:E5"/>
    <mergeCell ref="A6:E6"/>
    <mergeCell ref="A8:E8"/>
    <mergeCell ref="A19:E19"/>
  </mergeCells>
  <phoneticPr fontId="6" type="noConversion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workbookViewId="0">
      <selection activeCell="B5" sqref="B5"/>
    </sheetView>
  </sheetViews>
  <sheetFormatPr defaultRowHeight="17.25"/>
  <cols>
    <col min="1" max="1" width="4.25" style="267" customWidth="1"/>
    <col min="2" max="10" width="9" style="267"/>
    <col min="11" max="11" width="15.25" style="267" bestFit="1" customWidth="1"/>
    <col min="12" max="12" width="4.25" style="267" customWidth="1"/>
  </cols>
  <sheetData>
    <row r="1" spans="1:12" ht="18" thickBot="1"/>
    <row r="2" spans="1:12" ht="106.5" customHeight="1">
      <c r="A2" s="372" t="s">
        <v>142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4"/>
    </row>
    <row r="3" spans="1:12">
      <c r="A3" s="268"/>
      <c r="B3" s="269"/>
      <c r="C3" s="269"/>
      <c r="D3" s="269"/>
      <c r="E3" s="269"/>
      <c r="F3" s="269"/>
      <c r="G3" s="269"/>
      <c r="H3" s="269"/>
      <c r="I3" s="269"/>
      <c r="J3" s="270"/>
      <c r="K3" s="270"/>
      <c r="L3" s="271"/>
    </row>
    <row r="4" spans="1:12" ht="35.25" customHeight="1">
      <c r="A4" s="268"/>
      <c r="B4" s="269" t="s">
        <v>331</v>
      </c>
      <c r="C4" s="269"/>
      <c r="D4" s="269"/>
      <c r="E4" s="269"/>
      <c r="F4" s="269"/>
      <c r="G4" s="269"/>
      <c r="H4" s="269"/>
      <c r="I4" s="269"/>
      <c r="J4" s="269"/>
      <c r="K4" s="272"/>
      <c r="L4" s="273"/>
    </row>
    <row r="5" spans="1:12" ht="35.25" customHeight="1">
      <c r="A5" s="268"/>
      <c r="B5" s="269" t="s">
        <v>143</v>
      </c>
      <c r="C5" s="269"/>
      <c r="D5" s="269"/>
      <c r="E5" s="269"/>
      <c r="F5" s="269"/>
      <c r="G5" s="269"/>
      <c r="H5" s="269"/>
      <c r="I5" s="269"/>
      <c r="J5" s="269"/>
      <c r="K5" s="269"/>
      <c r="L5" s="273"/>
    </row>
    <row r="6" spans="1:12" ht="35.25" customHeight="1">
      <c r="A6" s="268"/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73"/>
    </row>
    <row r="7" spans="1:12" ht="35.25" customHeight="1">
      <c r="A7" s="268"/>
      <c r="B7" s="269" t="s">
        <v>144</v>
      </c>
      <c r="C7" s="269"/>
      <c r="D7" s="269"/>
      <c r="E7" s="269"/>
      <c r="F7" s="269"/>
      <c r="G7" s="269"/>
      <c r="H7" s="269"/>
      <c r="I7" s="269"/>
      <c r="J7" s="269"/>
      <c r="K7" s="269"/>
      <c r="L7" s="273"/>
    </row>
    <row r="8" spans="1:12" ht="35.25" customHeight="1">
      <c r="A8" s="268"/>
      <c r="B8" s="269" t="s">
        <v>145</v>
      </c>
      <c r="C8" s="269"/>
      <c r="D8" s="269"/>
      <c r="E8" s="269"/>
      <c r="F8" s="269"/>
      <c r="G8" s="269"/>
      <c r="H8" s="269"/>
      <c r="I8" s="269"/>
      <c r="J8" s="269"/>
      <c r="K8" s="269"/>
      <c r="L8" s="273"/>
    </row>
    <row r="9" spans="1:12" ht="35.25" customHeight="1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73"/>
    </row>
    <row r="10" spans="1:12" ht="35.25" customHeight="1">
      <c r="A10" s="268"/>
      <c r="B10" s="269" t="s">
        <v>146</v>
      </c>
      <c r="C10" s="269"/>
      <c r="D10" s="269"/>
      <c r="E10" s="269"/>
      <c r="F10" s="269"/>
      <c r="G10" s="269"/>
      <c r="H10" s="269"/>
      <c r="I10" s="269"/>
      <c r="J10" s="269"/>
      <c r="K10" s="269"/>
      <c r="L10" s="273"/>
    </row>
    <row r="11" spans="1:12" ht="35.25" customHeight="1">
      <c r="A11" s="268"/>
      <c r="B11" s="269" t="s">
        <v>147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3"/>
    </row>
    <row r="12" spans="1:12" ht="35.25" customHeight="1">
      <c r="A12" s="268"/>
      <c r="B12" s="269" t="s">
        <v>148</v>
      </c>
      <c r="C12" s="269"/>
      <c r="D12" s="269"/>
      <c r="E12" s="269"/>
      <c r="F12" s="269"/>
      <c r="G12" s="269"/>
      <c r="H12" s="269"/>
      <c r="I12" s="269"/>
      <c r="J12" s="269"/>
      <c r="K12" s="269"/>
      <c r="L12" s="273"/>
    </row>
    <row r="13" spans="1:12" ht="35.25" customHeight="1">
      <c r="A13" s="268"/>
      <c r="B13" s="269" t="s">
        <v>149</v>
      </c>
      <c r="C13" s="269"/>
      <c r="D13" s="269"/>
      <c r="E13" s="269"/>
      <c r="F13" s="269"/>
      <c r="G13" s="269"/>
      <c r="H13" s="269"/>
      <c r="I13" s="269"/>
      <c r="J13" s="269"/>
      <c r="K13" s="269"/>
      <c r="L13" s="273"/>
    </row>
    <row r="14" spans="1:12" ht="35.25" customHeight="1">
      <c r="A14" s="268"/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L14" s="273"/>
    </row>
    <row r="15" spans="1:12" ht="35.25" customHeight="1">
      <c r="A15" s="268"/>
      <c r="B15" s="269" t="s">
        <v>150</v>
      </c>
      <c r="C15" s="269"/>
      <c r="D15" s="269"/>
      <c r="E15" s="269"/>
      <c r="F15" s="269"/>
      <c r="G15" s="269"/>
      <c r="H15" s="269"/>
      <c r="I15" s="269"/>
      <c r="J15" s="269"/>
      <c r="K15" s="269"/>
      <c r="L15" s="273"/>
    </row>
    <row r="16" spans="1:12" ht="35.25" customHeight="1">
      <c r="A16" s="268"/>
      <c r="B16" s="269" t="s">
        <v>151</v>
      </c>
      <c r="C16" s="269"/>
      <c r="D16" s="269"/>
      <c r="E16" s="269"/>
      <c r="F16" s="269"/>
      <c r="G16" s="269"/>
      <c r="H16" s="269"/>
      <c r="I16" s="269"/>
      <c r="J16" s="269"/>
      <c r="K16" s="269"/>
      <c r="L16" s="273"/>
    </row>
    <row r="17" spans="1:12" ht="35.25" customHeight="1">
      <c r="A17" s="268"/>
      <c r="B17" s="269" t="s">
        <v>152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73"/>
    </row>
    <row r="18" spans="1:12" ht="35.25" customHeight="1">
      <c r="A18" s="268"/>
      <c r="B18" s="269" t="s">
        <v>153</v>
      </c>
      <c r="C18" s="269"/>
      <c r="D18" s="269"/>
      <c r="E18" s="269"/>
      <c r="F18" s="269"/>
      <c r="G18" s="269"/>
      <c r="H18" s="269"/>
      <c r="I18" s="269"/>
      <c r="J18" s="269"/>
      <c r="K18" s="269"/>
      <c r="L18" s="273"/>
    </row>
    <row r="19" spans="1:12" ht="35.25" customHeight="1">
      <c r="A19" s="268"/>
      <c r="B19" s="269" t="s">
        <v>154</v>
      </c>
      <c r="C19" s="269"/>
      <c r="D19" s="269"/>
      <c r="E19" s="269"/>
      <c r="F19" s="269"/>
      <c r="G19" s="269"/>
      <c r="H19" s="269"/>
      <c r="I19" s="269"/>
      <c r="J19" s="269"/>
      <c r="K19" s="269"/>
      <c r="L19" s="273"/>
    </row>
    <row r="20" spans="1:12" ht="35.25" customHeight="1" thickBot="1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275"/>
      <c r="L20" s="276"/>
    </row>
    <row r="21" spans="1:12" ht="35.25" customHeight="1">
      <c r="A21" s="375"/>
      <c r="B21" s="375"/>
      <c r="C21" s="375"/>
      <c r="D21" s="375"/>
      <c r="E21" s="375"/>
      <c r="F21" s="375"/>
      <c r="G21" s="375"/>
      <c r="H21" s="375"/>
      <c r="I21" s="375"/>
    </row>
    <row r="22" spans="1:12" ht="35.25" customHeight="1">
      <c r="A22" s="270"/>
      <c r="B22" s="270"/>
      <c r="C22" s="270"/>
      <c r="D22" s="270"/>
      <c r="E22" s="270"/>
      <c r="F22" s="270"/>
      <c r="G22" s="270"/>
      <c r="H22" s="270"/>
      <c r="I22" s="270"/>
    </row>
    <row r="23" spans="1:12" ht="35.25" customHeight="1">
      <c r="A23" s="270"/>
      <c r="B23" s="270"/>
      <c r="C23" s="270"/>
      <c r="D23" s="270"/>
      <c r="E23" s="270"/>
      <c r="F23" s="270"/>
      <c r="G23" s="270"/>
      <c r="H23" s="270"/>
      <c r="I23" s="270"/>
    </row>
    <row r="24" spans="1:12" ht="35.25" customHeight="1"/>
    <row r="25" spans="1:12" ht="35.25" customHeight="1"/>
    <row r="26" spans="1:12" ht="35.25" customHeight="1"/>
    <row r="27" spans="1:12" ht="35.25" customHeight="1"/>
    <row r="28" spans="1:12" ht="35.25" customHeight="1"/>
    <row r="29" spans="1:12" ht="35.25" customHeight="1"/>
  </sheetData>
  <mergeCells count="2">
    <mergeCell ref="A2:L2"/>
    <mergeCell ref="A21:I21"/>
  </mergeCells>
  <phoneticPr fontId="6" type="noConversion"/>
  <pageMargins left="0.7" right="0.7" top="0.75" bottom="0.75" header="0.3" footer="0.3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84"/>
  <sheetViews>
    <sheetView zoomScale="145" zoomScaleNormal="145" workbookViewId="0">
      <pane xSplit="2" ySplit="6" topLeftCell="C70" activePane="bottomRight" state="frozen"/>
      <selection pane="topRight" activeCell="C1" sqref="C1"/>
      <selection pane="bottomLeft" activeCell="A7" sqref="A7"/>
      <selection pane="bottomRight" activeCell="I74" sqref="I74"/>
    </sheetView>
  </sheetViews>
  <sheetFormatPr defaultRowHeight="16.5"/>
  <cols>
    <col min="1" max="1" width="1.5" customWidth="1"/>
    <col min="2" max="2" width="14.5" customWidth="1"/>
    <col min="3" max="3" width="11.125" style="1" customWidth="1"/>
    <col min="4" max="4" width="0" style="1" hidden="1" customWidth="1"/>
    <col min="5" max="5" width="11.75" style="3" customWidth="1"/>
    <col min="6" max="6" width="10.875" style="3" customWidth="1"/>
    <col min="7" max="7" width="25" style="25" customWidth="1"/>
    <col min="8" max="8" width="2.125" style="25" customWidth="1"/>
    <col min="9" max="9" width="15.875" style="25" bestFit="1" customWidth="1"/>
    <col min="10" max="10" width="3.125" customWidth="1"/>
  </cols>
  <sheetData>
    <row r="1" spans="1:12" ht="33" customHeight="1">
      <c r="A1" s="380" t="s">
        <v>248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ht="19.5" customHeight="1">
      <c r="A2" s="381" t="s">
        <v>249</v>
      </c>
      <c r="B2" s="381"/>
      <c r="C2" s="381"/>
      <c r="D2" s="381"/>
      <c r="E2" s="381"/>
      <c r="F2" s="381"/>
      <c r="G2" s="381"/>
      <c r="H2" s="381"/>
      <c r="I2" s="381"/>
      <c r="J2" s="381"/>
    </row>
    <row r="3" spans="1:12" ht="18.75">
      <c r="A3" s="382" t="s">
        <v>0</v>
      </c>
      <c r="B3" s="382"/>
      <c r="C3" s="382"/>
      <c r="D3" s="382"/>
      <c r="E3" s="382"/>
      <c r="F3" s="382"/>
      <c r="G3" s="382"/>
      <c r="H3" s="382"/>
      <c r="I3" s="382"/>
      <c r="J3" s="382"/>
    </row>
    <row r="4" spans="1:12" ht="17.25" thickBot="1">
      <c r="A4" s="383" t="s">
        <v>217</v>
      </c>
      <c r="B4" s="383"/>
      <c r="C4" s="383"/>
      <c r="D4" s="383"/>
      <c r="E4" s="383"/>
      <c r="F4" s="383"/>
      <c r="G4" s="383"/>
      <c r="H4" s="383"/>
      <c r="I4" s="383"/>
      <c r="J4" s="383"/>
    </row>
    <row r="5" spans="1:12" ht="22.5">
      <c r="A5" s="384" t="s">
        <v>1</v>
      </c>
      <c r="B5" s="385"/>
      <c r="C5" s="31" t="s">
        <v>2</v>
      </c>
      <c r="D5" s="31" t="s">
        <v>4</v>
      </c>
      <c r="E5" s="31" t="s">
        <v>6</v>
      </c>
      <c r="F5" s="139" t="s">
        <v>8</v>
      </c>
      <c r="G5" s="392" t="s">
        <v>29</v>
      </c>
      <c r="H5" s="392"/>
      <c r="I5" s="393"/>
      <c r="J5" s="388" t="s">
        <v>10</v>
      </c>
    </row>
    <row r="6" spans="1:12" ht="17.25" thickBot="1">
      <c r="A6" s="386"/>
      <c r="B6" s="387"/>
      <c r="C6" s="26" t="s">
        <v>3</v>
      </c>
      <c r="D6" s="26" t="s">
        <v>5</v>
      </c>
      <c r="E6" s="26" t="s">
        <v>7</v>
      </c>
      <c r="F6" s="26" t="s">
        <v>9</v>
      </c>
      <c r="G6" s="394"/>
      <c r="H6" s="394"/>
      <c r="I6" s="395"/>
      <c r="J6" s="389"/>
    </row>
    <row r="7" spans="1:12">
      <c r="A7" s="376" t="s">
        <v>11</v>
      </c>
      <c r="B7" s="377"/>
      <c r="C7" s="148">
        <f>C9+C12+C18</f>
        <v>5935010</v>
      </c>
      <c r="D7" s="147">
        <v>0</v>
      </c>
      <c r="E7" s="148">
        <f>E9+E12+E16+E18</f>
        <v>4638400</v>
      </c>
      <c r="F7" s="148">
        <f>E7-C7</f>
        <v>-1296610</v>
      </c>
      <c r="G7" s="150"/>
      <c r="H7" s="150"/>
      <c r="I7" s="151"/>
      <c r="J7" s="152"/>
    </row>
    <row r="8" spans="1:12">
      <c r="A8" s="153"/>
      <c r="B8" s="154"/>
      <c r="C8" s="235"/>
      <c r="D8" s="235"/>
      <c r="E8" s="235"/>
      <c r="F8" s="235"/>
      <c r="G8" s="145"/>
      <c r="H8" s="145"/>
      <c r="I8" s="145"/>
      <c r="J8" s="146"/>
    </row>
    <row r="9" spans="1:12">
      <c r="A9" s="58"/>
      <c r="B9" s="59" t="s">
        <v>57</v>
      </c>
      <c r="C9" s="68">
        <v>420000</v>
      </c>
      <c r="D9" s="140"/>
      <c r="E9" s="68">
        <f>I9</f>
        <v>300000</v>
      </c>
      <c r="F9" s="69">
        <f>E9-C9</f>
        <v>-120000</v>
      </c>
      <c r="G9" s="92" t="s">
        <v>56</v>
      </c>
      <c r="H9" s="93"/>
      <c r="I9" s="94">
        <f>SUM(I10:I11)</f>
        <v>300000</v>
      </c>
      <c r="J9" s="30"/>
    </row>
    <row r="10" spans="1:12">
      <c r="A10" s="60"/>
      <c r="B10" s="75"/>
      <c r="C10" s="238"/>
      <c r="D10" s="238"/>
      <c r="E10" s="238"/>
      <c r="F10" s="238"/>
      <c r="G10" s="309" t="s">
        <v>250</v>
      </c>
      <c r="H10" s="328" t="s">
        <v>34</v>
      </c>
      <c r="I10" s="329">
        <f>30000*5</f>
        <v>150000</v>
      </c>
      <c r="J10" s="32"/>
    </row>
    <row r="11" spans="1:12">
      <c r="A11" s="60"/>
      <c r="B11" s="61"/>
      <c r="C11" s="70"/>
      <c r="D11" s="141"/>
      <c r="E11" s="70"/>
      <c r="F11" s="71"/>
      <c r="G11" s="330" t="s">
        <v>284</v>
      </c>
      <c r="H11" s="331" t="s">
        <v>34</v>
      </c>
      <c r="I11" s="332">
        <f>30000*5</f>
        <v>150000</v>
      </c>
      <c r="J11" s="32"/>
    </row>
    <row r="12" spans="1:12">
      <c r="A12" s="60"/>
      <c r="B12" s="59" t="s">
        <v>58</v>
      </c>
      <c r="C12" s="68">
        <v>3202500</v>
      </c>
      <c r="D12" s="140"/>
      <c r="E12" s="68">
        <f>I12</f>
        <v>3430000</v>
      </c>
      <c r="F12" s="69">
        <f>E12-C12</f>
        <v>227500</v>
      </c>
      <c r="G12" s="333" t="s">
        <v>62</v>
      </c>
      <c r="H12" s="334"/>
      <c r="I12" s="335">
        <f>SUM(I13:I14)</f>
        <v>3430000</v>
      </c>
      <c r="J12" s="30"/>
    </row>
    <row r="13" spans="1:12">
      <c r="A13" s="60"/>
      <c r="B13" s="61"/>
      <c r="C13" s="237"/>
      <c r="D13" s="237"/>
      <c r="E13" s="237"/>
      <c r="F13" s="237"/>
      <c r="G13" s="309" t="s">
        <v>285</v>
      </c>
      <c r="H13" s="328" t="s">
        <v>34</v>
      </c>
      <c r="I13" s="336">
        <f>40000*20*2</f>
        <v>1600000</v>
      </c>
      <c r="J13" s="32"/>
    </row>
    <row r="14" spans="1:12">
      <c r="A14" s="60"/>
      <c r="B14" s="61"/>
      <c r="C14" s="70"/>
      <c r="D14" s="141"/>
      <c r="E14" s="70"/>
      <c r="F14" s="72"/>
      <c r="G14" s="330" t="s">
        <v>295</v>
      </c>
      <c r="H14" s="331" t="s">
        <v>34</v>
      </c>
      <c r="I14" s="332">
        <f>30500*30*2</f>
        <v>1830000</v>
      </c>
      <c r="J14" s="74"/>
      <c r="K14" s="302"/>
      <c r="L14" s="302"/>
    </row>
    <row r="15" spans="1:12">
      <c r="A15" s="60"/>
      <c r="B15" s="61"/>
      <c r="C15" s="70"/>
      <c r="D15" s="141"/>
      <c r="E15" s="70"/>
      <c r="F15" s="72"/>
      <c r="G15" s="98" t="s">
        <v>61</v>
      </c>
      <c r="H15" s="99"/>
      <c r="I15" s="203">
        <v>0</v>
      </c>
      <c r="J15" s="30"/>
    </row>
    <row r="16" spans="1:12">
      <c r="A16" s="60"/>
      <c r="B16" s="59" t="s">
        <v>59</v>
      </c>
      <c r="C16" s="231">
        <v>0</v>
      </c>
      <c r="D16" s="231">
        <v>0</v>
      </c>
      <c r="E16" s="68">
        <f>I16</f>
        <v>0</v>
      </c>
      <c r="F16" s="69">
        <f>E16-C16</f>
        <v>0</v>
      </c>
      <c r="G16" s="98" t="s">
        <v>88</v>
      </c>
      <c r="H16" s="155"/>
      <c r="I16" s="203">
        <v>0</v>
      </c>
      <c r="J16" s="30"/>
    </row>
    <row r="17" spans="1:10">
      <c r="A17" s="60"/>
      <c r="B17" s="76"/>
      <c r="C17" s="238"/>
      <c r="D17" s="238"/>
      <c r="E17" s="238"/>
      <c r="F17" s="238"/>
      <c r="G17" s="156"/>
      <c r="H17" s="96"/>
      <c r="I17" s="97"/>
      <c r="J17" s="157"/>
    </row>
    <row r="18" spans="1:10">
      <c r="A18" s="60"/>
      <c r="B18" s="59" t="s">
        <v>60</v>
      </c>
      <c r="C18" s="68">
        <v>2312510</v>
      </c>
      <c r="D18" s="140"/>
      <c r="E18" s="68">
        <f>I18+I20+I26+I28+I24</f>
        <v>908400</v>
      </c>
      <c r="F18" s="69">
        <f>E18-C18</f>
        <v>-1404110</v>
      </c>
      <c r="G18" s="101" t="s">
        <v>83</v>
      </c>
      <c r="H18" s="102"/>
      <c r="I18" s="103">
        <f>SUM(I19:I19)</f>
        <v>0</v>
      </c>
      <c r="J18" s="56"/>
    </row>
    <row r="19" spans="1:10">
      <c r="A19" s="60"/>
      <c r="B19" s="62"/>
      <c r="C19" s="237"/>
      <c r="D19" s="237"/>
      <c r="E19" s="237"/>
      <c r="F19" s="237"/>
      <c r="G19" s="104" t="s">
        <v>286</v>
      </c>
      <c r="H19" s="95" t="s">
        <v>27</v>
      </c>
      <c r="I19" s="105">
        <v>0</v>
      </c>
      <c r="J19" s="57"/>
    </row>
    <row r="20" spans="1:10" s="120" customFormat="1">
      <c r="A20" s="119"/>
      <c r="B20" s="128"/>
      <c r="C20" s="129"/>
      <c r="D20" s="142"/>
      <c r="E20" s="129"/>
      <c r="F20" s="129"/>
      <c r="G20" s="101" t="s">
        <v>82</v>
      </c>
      <c r="H20" s="102"/>
      <c r="I20" s="103">
        <f>I21+I22+I23</f>
        <v>48000</v>
      </c>
      <c r="J20" s="131"/>
    </row>
    <row r="21" spans="1:10" s="120" customFormat="1">
      <c r="A21" s="119"/>
      <c r="B21" s="128"/>
      <c r="C21" s="129"/>
      <c r="D21" s="142"/>
      <c r="E21" s="129"/>
      <c r="F21" s="129"/>
      <c r="G21" s="345" t="s">
        <v>287</v>
      </c>
      <c r="H21" s="328" t="s">
        <v>27</v>
      </c>
      <c r="I21" s="346">
        <f>500*37*2</f>
        <v>37000</v>
      </c>
      <c r="J21" s="130"/>
    </row>
    <row r="22" spans="1:10" s="120" customFormat="1">
      <c r="A22" s="119"/>
      <c r="B22" s="128"/>
      <c r="C22" s="129"/>
      <c r="D22" s="142"/>
      <c r="E22" s="129"/>
      <c r="F22" s="129"/>
      <c r="G22" s="345" t="s">
        <v>314</v>
      </c>
      <c r="H22" s="328" t="s">
        <v>27</v>
      </c>
      <c r="I22" s="346">
        <f>220*25*2</f>
        <v>11000</v>
      </c>
      <c r="J22" s="130"/>
    </row>
    <row r="23" spans="1:10" s="120" customFormat="1">
      <c r="A23" s="119"/>
      <c r="B23" s="128"/>
      <c r="C23" s="129"/>
      <c r="D23" s="142"/>
      <c r="E23" s="129"/>
      <c r="F23" s="129"/>
      <c r="G23" s="104"/>
      <c r="H23" s="95"/>
      <c r="I23" s="105"/>
      <c r="J23" s="130"/>
    </row>
    <row r="24" spans="1:10" s="120" customFormat="1">
      <c r="A24" s="119"/>
      <c r="B24" s="128"/>
      <c r="C24" s="129"/>
      <c r="D24" s="142"/>
      <c r="E24" s="129"/>
      <c r="F24" s="129"/>
      <c r="G24" s="101" t="s">
        <v>229</v>
      </c>
      <c r="H24" s="102"/>
      <c r="I24" s="103">
        <f>SUM(I25:I25)</f>
        <v>192000</v>
      </c>
      <c r="J24" s="130"/>
    </row>
    <row r="25" spans="1:10" s="120" customFormat="1">
      <c r="A25" s="119"/>
      <c r="B25" s="128"/>
      <c r="C25" s="129"/>
      <c r="D25" s="142"/>
      <c r="E25" s="129"/>
      <c r="F25" s="129"/>
      <c r="G25" s="104" t="s">
        <v>292</v>
      </c>
      <c r="H25" s="95" t="s">
        <v>27</v>
      </c>
      <c r="I25" s="105">
        <f>9600*2*10</f>
        <v>192000</v>
      </c>
      <c r="J25" s="130"/>
    </row>
    <row r="26" spans="1:10">
      <c r="A26" s="60"/>
      <c r="B26" s="62"/>
      <c r="C26" s="70"/>
      <c r="D26" s="141"/>
      <c r="E26" s="70"/>
      <c r="F26" s="70"/>
      <c r="G26" s="101" t="s">
        <v>227</v>
      </c>
      <c r="H26" s="102"/>
      <c r="I26" s="103">
        <f>SUM(I27:I27)</f>
        <v>223400</v>
      </c>
      <c r="J26" s="131"/>
    </row>
    <row r="27" spans="1:10">
      <c r="A27" s="60"/>
      <c r="B27" s="62"/>
      <c r="C27" s="70"/>
      <c r="D27" s="141"/>
      <c r="E27" s="70"/>
      <c r="F27" s="70"/>
      <c r="G27" s="104" t="s">
        <v>223</v>
      </c>
      <c r="H27" s="95" t="s">
        <v>27</v>
      </c>
      <c r="I27" s="105">
        <v>223400</v>
      </c>
      <c r="J27" s="130"/>
    </row>
    <row r="28" spans="1:10">
      <c r="A28" s="60"/>
      <c r="B28" s="62"/>
      <c r="C28" s="70"/>
      <c r="D28" s="141"/>
      <c r="E28" s="70"/>
      <c r="F28" s="70"/>
      <c r="G28" s="101" t="s">
        <v>228</v>
      </c>
      <c r="H28" s="102"/>
      <c r="I28" s="103">
        <f>SUM(I29:I30)</f>
        <v>445000</v>
      </c>
      <c r="J28" s="56"/>
    </row>
    <row r="29" spans="1:10">
      <c r="A29" s="60"/>
      <c r="B29" s="62"/>
      <c r="C29" s="70"/>
      <c r="D29" s="141"/>
      <c r="E29" s="70"/>
      <c r="F29" s="70"/>
      <c r="G29" s="345" t="s">
        <v>289</v>
      </c>
      <c r="H29" s="328" t="s">
        <v>27</v>
      </c>
      <c r="I29" s="346">
        <v>430000</v>
      </c>
      <c r="J29" s="57"/>
    </row>
    <row r="30" spans="1:10" ht="17.25" thickBot="1">
      <c r="A30" s="60"/>
      <c r="B30" s="62"/>
      <c r="C30" s="70"/>
      <c r="D30" s="141"/>
      <c r="E30" s="70"/>
      <c r="F30" s="70"/>
      <c r="G30" s="345" t="s">
        <v>290</v>
      </c>
      <c r="H30" s="331" t="s">
        <v>27</v>
      </c>
      <c r="I30" s="346">
        <f>1500*10</f>
        <v>15000</v>
      </c>
      <c r="J30" s="57"/>
    </row>
    <row r="31" spans="1:10">
      <c r="A31" s="390" t="s">
        <v>13</v>
      </c>
      <c r="B31" s="391"/>
      <c r="C31" s="148">
        <f>SUM(C33:C48)</f>
        <v>10238266</v>
      </c>
      <c r="D31" s="147">
        <v>0</v>
      </c>
      <c r="E31" s="148">
        <f>SUM(E33,E35,E37,E42,E44,E40,E46)</f>
        <v>10806397</v>
      </c>
      <c r="F31" s="148">
        <f>F33+F35+F37+F40+F42+F44+F46</f>
        <v>568131</v>
      </c>
      <c r="G31" s="149"/>
      <c r="H31" s="150"/>
      <c r="I31" s="151"/>
      <c r="J31" s="152"/>
    </row>
    <row r="32" spans="1:10">
      <c r="A32" s="153"/>
      <c r="B32" s="154"/>
      <c r="C32" s="235"/>
      <c r="D32" s="235"/>
      <c r="E32" s="235"/>
      <c r="F32" s="235"/>
      <c r="G32" s="27"/>
      <c r="H32" s="28"/>
      <c r="I32" s="29"/>
      <c r="J32" s="33"/>
    </row>
    <row r="33" spans="1:10" ht="22.5">
      <c r="A33" s="58"/>
      <c r="B33" s="59" t="s">
        <v>63</v>
      </c>
      <c r="C33" s="68">
        <v>4995454</v>
      </c>
      <c r="D33" s="140"/>
      <c r="E33" s="68">
        <f>I33</f>
        <v>5573940</v>
      </c>
      <c r="F33" s="69">
        <f>E33-C33</f>
        <v>578486</v>
      </c>
      <c r="G33" s="101" t="s">
        <v>114</v>
      </c>
      <c r="H33" s="102"/>
      <c r="I33" s="103">
        <f>SUM(I34)</f>
        <v>5573940</v>
      </c>
      <c r="J33" s="30"/>
    </row>
    <row r="34" spans="1:10">
      <c r="A34" s="60"/>
      <c r="B34" s="76"/>
      <c r="C34" s="237"/>
      <c r="D34" s="237"/>
      <c r="E34" s="237"/>
      <c r="F34" s="237"/>
      <c r="G34" s="104" t="s">
        <v>296</v>
      </c>
      <c r="H34" s="95" t="s">
        <v>27</v>
      </c>
      <c r="I34" s="105">
        <f>185798*30</f>
        <v>5573940</v>
      </c>
      <c r="J34" s="32"/>
    </row>
    <row r="35" spans="1:10">
      <c r="A35" s="60"/>
      <c r="B35" s="59" t="s">
        <v>64</v>
      </c>
      <c r="C35" s="68">
        <v>4387984</v>
      </c>
      <c r="D35" s="140"/>
      <c r="E35" s="68">
        <f>I35</f>
        <v>4571040</v>
      </c>
      <c r="F35" s="69">
        <f>E35-C35</f>
        <v>183056</v>
      </c>
      <c r="G35" s="101" t="s">
        <v>90</v>
      </c>
      <c r="H35" s="102"/>
      <c r="I35" s="103">
        <f>SUM(I36)</f>
        <v>4571040</v>
      </c>
      <c r="J35" s="30"/>
    </row>
    <row r="36" spans="1:10">
      <c r="A36" s="60"/>
      <c r="B36" s="76"/>
      <c r="C36" s="237"/>
      <c r="D36" s="237"/>
      <c r="E36" s="237"/>
      <c r="F36" s="237"/>
      <c r="G36" s="104" t="s">
        <v>297</v>
      </c>
      <c r="H36" s="95" t="s">
        <v>27</v>
      </c>
      <c r="I36" s="105">
        <f>152368*30</f>
        <v>4571040</v>
      </c>
      <c r="J36" s="32"/>
    </row>
    <row r="37" spans="1:10">
      <c r="A37" s="60"/>
      <c r="B37" s="59" t="s">
        <v>65</v>
      </c>
      <c r="C37" s="68">
        <v>43167</v>
      </c>
      <c r="D37" s="140"/>
      <c r="E37" s="68">
        <f>I37</f>
        <v>49817</v>
      </c>
      <c r="F37" s="69">
        <f>E37-C37</f>
        <v>6650</v>
      </c>
      <c r="G37" s="101" t="s">
        <v>89</v>
      </c>
      <c r="H37" s="102"/>
      <c r="I37" s="103">
        <f>SUM(I38:I39)</f>
        <v>49817</v>
      </c>
      <c r="J37" s="30"/>
    </row>
    <row r="38" spans="1:10">
      <c r="A38" s="60"/>
      <c r="B38" s="75"/>
      <c r="C38" s="238"/>
      <c r="D38" s="238"/>
      <c r="E38" s="238"/>
      <c r="F38" s="238"/>
      <c r="G38" s="104" t="s">
        <v>232</v>
      </c>
      <c r="H38" s="95" t="s">
        <v>27</v>
      </c>
      <c r="I38" s="105">
        <v>49817</v>
      </c>
      <c r="J38" s="32"/>
    </row>
    <row r="39" spans="1:10">
      <c r="A39" s="60"/>
      <c r="B39" s="75"/>
      <c r="C39" s="238"/>
      <c r="D39" s="238"/>
      <c r="E39" s="238"/>
      <c r="F39" s="238"/>
      <c r="G39" s="104"/>
      <c r="H39" s="95" t="s">
        <v>27</v>
      </c>
      <c r="I39" s="105"/>
      <c r="J39" s="32"/>
    </row>
    <row r="40" spans="1:10" s="120" customFormat="1" ht="16.5" customHeight="1">
      <c r="A40" s="119"/>
      <c r="B40" s="162" t="s">
        <v>66</v>
      </c>
      <c r="C40" s="294">
        <v>79461</v>
      </c>
      <c r="D40" s="231">
        <v>0</v>
      </c>
      <c r="E40" s="68">
        <f>I40</f>
        <v>30000</v>
      </c>
      <c r="F40" s="69">
        <f>E40-C40</f>
        <v>-49461</v>
      </c>
      <c r="G40" s="101" t="s">
        <v>103</v>
      </c>
      <c r="H40" s="155"/>
      <c r="I40" s="301">
        <f>I41</f>
        <v>30000</v>
      </c>
      <c r="J40" s="159"/>
    </row>
    <row r="41" spans="1:10" s="120" customFormat="1" ht="16.5" customHeight="1">
      <c r="A41" s="119"/>
      <c r="B41" s="163"/>
      <c r="C41" s="238"/>
      <c r="D41" s="238"/>
      <c r="E41" s="238"/>
      <c r="F41" s="238"/>
      <c r="G41" s="104" t="s">
        <v>233</v>
      </c>
      <c r="H41" s="96"/>
      <c r="I41" s="97">
        <v>30000</v>
      </c>
      <c r="J41" s="164"/>
    </row>
    <row r="42" spans="1:10" s="120" customFormat="1" ht="16.5" customHeight="1">
      <c r="A42" s="119"/>
      <c r="B42" s="165" t="s">
        <v>67</v>
      </c>
      <c r="C42" s="294">
        <v>0</v>
      </c>
      <c r="D42" s="231">
        <v>0</v>
      </c>
      <c r="E42" s="68">
        <f>I42</f>
        <v>88000</v>
      </c>
      <c r="F42" s="69">
        <f>E42-C42</f>
        <v>88000</v>
      </c>
      <c r="G42" s="158" t="s">
        <v>104</v>
      </c>
      <c r="H42" s="102"/>
      <c r="I42" s="103">
        <f>SUM(I43)</f>
        <v>88000</v>
      </c>
      <c r="J42" s="159"/>
    </row>
    <row r="43" spans="1:10" s="120" customFormat="1" ht="16.5" customHeight="1">
      <c r="A43" s="119"/>
      <c r="B43" s="166"/>
      <c r="C43" s="238"/>
      <c r="D43" s="238"/>
      <c r="E43" s="238"/>
      <c r="F43" s="238"/>
      <c r="G43" s="104" t="s">
        <v>165</v>
      </c>
      <c r="H43" s="95" t="s">
        <v>166</v>
      </c>
      <c r="I43" s="105">
        <v>88000</v>
      </c>
      <c r="J43" s="164"/>
    </row>
    <row r="44" spans="1:10" s="120" customFormat="1" ht="16.5" customHeight="1">
      <c r="A44" s="119"/>
      <c r="B44" s="165" t="s">
        <v>68</v>
      </c>
      <c r="C44" s="231">
        <v>0</v>
      </c>
      <c r="D44" s="231"/>
      <c r="E44" s="68">
        <f>I44</f>
        <v>0</v>
      </c>
      <c r="F44" s="69">
        <f>E44-C44</f>
        <v>0</v>
      </c>
      <c r="G44" s="158" t="s">
        <v>105</v>
      </c>
      <c r="H44" s="155"/>
      <c r="I44" s="203">
        <v>0</v>
      </c>
      <c r="J44" s="159"/>
    </row>
    <row r="45" spans="1:10" s="120" customFormat="1" ht="16.5" customHeight="1">
      <c r="A45" s="119"/>
      <c r="B45" s="166"/>
      <c r="C45" s="238"/>
      <c r="D45" s="238"/>
      <c r="E45" s="238"/>
      <c r="F45" s="238"/>
      <c r="G45" s="167"/>
      <c r="H45" s="96"/>
      <c r="I45" s="97"/>
      <c r="J45" s="164"/>
    </row>
    <row r="46" spans="1:10" s="120" customFormat="1" ht="16.5" customHeight="1">
      <c r="A46" s="119"/>
      <c r="B46" s="317" t="s">
        <v>115</v>
      </c>
      <c r="C46" s="297">
        <v>732200</v>
      </c>
      <c r="D46" s="320">
        <v>0</v>
      </c>
      <c r="E46" s="321">
        <f>I46</f>
        <v>493600</v>
      </c>
      <c r="F46" s="69">
        <f>E46-C46</f>
        <v>-238600</v>
      </c>
      <c r="G46" s="158" t="s">
        <v>106</v>
      </c>
      <c r="H46" s="102"/>
      <c r="I46" s="103">
        <f>SUM(I47:I48)</f>
        <v>493600</v>
      </c>
      <c r="J46" s="159"/>
    </row>
    <row r="47" spans="1:10" s="120" customFormat="1" ht="16.5" customHeight="1">
      <c r="A47" s="119"/>
      <c r="B47" s="160"/>
      <c r="C47" s="318"/>
      <c r="D47" s="319"/>
      <c r="E47" s="70"/>
      <c r="F47" s="71"/>
      <c r="G47" s="104" t="s">
        <v>218</v>
      </c>
      <c r="H47" s="95" t="s">
        <v>27</v>
      </c>
      <c r="I47" s="105">
        <v>153600</v>
      </c>
      <c r="J47" s="161"/>
    </row>
    <row r="48" spans="1:10" s="120" customFormat="1" ht="16.5" customHeight="1" thickBot="1">
      <c r="A48" s="119"/>
      <c r="B48" s="160"/>
      <c r="C48" s="238"/>
      <c r="D48" s="238"/>
      <c r="E48" s="238"/>
      <c r="F48" s="238"/>
      <c r="G48" s="104" t="s">
        <v>164</v>
      </c>
      <c r="H48" s="95" t="s">
        <v>161</v>
      </c>
      <c r="I48" s="105">
        <v>340000</v>
      </c>
      <c r="J48" s="161"/>
    </row>
    <row r="49" spans="1:10">
      <c r="A49" s="376" t="s">
        <v>15</v>
      </c>
      <c r="B49" s="377"/>
      <c r="C49" s="148">
        <f>SUM(C51+C55)</f>
        <v>68000</v>
      </c>
      <c r="D49" s="147">
        <v>0</v>
      </c>
      <c r="E49" s="148">
        <f>E51+E55</f>
        <v>11500</v>
      </c>
      <c r="F49" s="148">
        <f>SUM(F51,F55)</f>
        <v>-56500</v>
      </c>
      <c r="G49" s="149"/>
      <c r="H49" s="150"/>
      <c r="I49" s="151"/>
      <c r="J49" s="152"/>
    </row>
    <row r="50" spans="1:10">
      <c r="A50" s="153"/>
      <c r="B50" s="154"/>
      <c r="C50" s="239"/>
      <c r="D50" s="239"/>
      <c r="E50" s="239"/>
      <c r="F50" s="239"/>
      <c r="G50" s="27"/>
      <c r="H50" s="28"/>
      <c r="I50" s="29"/>
      <c r="J50" s="170"/>
    </row>
    <row r="51" spans="1:10">
      <c r="A51" s="58"/>
      <c r="B51" s="64" t="s">
        <v>75</v>
      </c>
      <c r="C51" s="68">
        <v>62000</v>
      </c>
      <c r="D51" s="140"/>
      <c r="E51" s="68">
        <f>I51+I53</f>
        <v>5500</v>
      </c>
      <c r="F51" s="69">
        <f>E51-C51</f>
        <v>-56500</v>
      </c>
      <c r="G51" s="277" t="s">
        <v>155</v>
      </c>
      <c r="H51" s="102"/>
      <c r="I51" s="103">
        <f>SUM(I52)</f>
        <v>3500</v>
      </c>
      <c r="J51" s="56"/>
    </row>
    <row r="52" spans="1:10">
      <c r="A52" s="60"/>
      <c r="B52" s="62"/>
      <c r="C52" s="238"/>
      <c r="D52" s="238"/>
      <c r="E52" s="238"/>
      <c r="F52" s="238"/>
      <c r="G52" s="144" t="s">
        <v>234</v>
      </c>
      <c r="H52" s="95" t="s">
        <v>27</v>
      </c>
      <c r="I52" s="105">
        <v>3500</v>
      </c>
      <c r="J52" s="57"/>
    </row>
    <row r="53" spans="1:10">
      <c r="A53" s="60"/>
      <c r="B53" s="62"/>
      <c r="C53" s="238"/>
      <c r="D53" s="238"/>
      <c r="E53" s="238"/>
      <c r="F53" s="238"/>
      <c r="G53" s="101" t="s">
        <v>85</v>
      </c>
      <c r="H53" s="102"/>
      <c r="I53" s="103">
        <f>SUM(I54)</f>
        <v>2000</v>
      </c>
      <c r="J53" s="56"/>
    </row>
    <row r="54" spans="1:10">
      <c r="A54" s="60"/>
      <c r="B54" s="62"/>
      <c r="C54" s="70"/>
      <c r="D54" s="141"/>
      <c r="E54" s="70"/>
      <c r="F54" s="70"/>
      <c r="G54" s="104" t="s">
        <v>200</v>
      </c>
      <c r="H54" s="95" t="s">
        <v>27</v>
      </c>
      <c r="I54" s="105">
        <f>100*3+1700</f>
        <v>2000</v>
      </c>
      <c r="J54" s="57"/>
    </row>
    <row r="55" spans="1:10">
      <c r="A55" s="60"/>
      <c r="B55" s="64" t="s">
        <v>76</v>
      </c>
      <c r="C55" s="68">
        <v>6000</v>
      </c>
      <c r="D55" s="140"/>
      <c r="E55" s="68">
        <f>I55+I57+I58</f>
        <v>6000</v>
      </c>
      <c r="F55" s="69">
        <f>E55-C55</f>
        <v>0</v>
      </c>
      <c r="G55" s="101" t="s">
        <v>84</v>
      </c>
      <c r="H55" s="102"/>
      <c r="I55" s="103">
        <f>SUM(I56)</f>
        <v>6000</v>
      </c>
      <c r="J55" s="56"/>
    </row>
    <row r="56" spans="1:10">
      <c r="A56" s="60"/>
      <c r="B56" s="62"/>
      <c r="C56" s="238"/>
      <c r="D56" s="238"/>
      <c r="E56" s="238"/>
      <c r="F56" s="238"/>
      <c r="G56" s="104" t="s">
        <v>199</v>
      </c>
      <c r="H56" s="95" t="s">
        <v>27</v>
      </c>
      <c r="I56" s="105">
        <f>3000*2</f>
        <v>6000</v>
      </c>
      <c r="J56" s="57"/>
    </row>
    <row r="57" spans="1:10">
      <c r="A57" s="60"/>
      <c r="B57" s="62"/>
      <c r="C57" s="70"/>
      <c r="D57" s="141"/>
      <c r="E57" s="70"/>
      <c r="F57" s="70"/>
      <c r="G57" s="101" t="s">
        <v>189</v>
      </c>
      <c r="H57" s="102"/>
      <c r="I57" s="203">
        <v>0</v>
      </c>
      <c r="J57" s="56"/>
    </row>
    <row r="58" spans="1:10">
      <c r="A58" s="60"/>
      <c r="B58" s="62"/>
      <c r="C58" s="70"/>
      <c r="D58" s="141"/>
      <c r="E58" s="70"/>
      <c r="F58" s="70"/>
      <c r="G58" s="293" t="s">
        <v>86</v>
      </c>
      <c r="H58" s="315"/>
      <c r="I58" s="301">
        <f>SUM(I59:I59)</f>
        <v>0</v>
      </c>
      <c r="J58" s="56"/>
    </row>
    <row r="59" spans="1:10" ht="17.25" thickBot="1">
      <c r="A59" s="63"/>
      <c r="B59" s="168"/>
      <c r="C59" s="73"/>
      <c r="D59" s="143"/>
      <c r="E59" s="73"/>
      <c r="F59" s="73"/>
      <c r="G59" s="104"/>
      <c r="H59" s="95" t="s">
        <v>27</v>
      </c>
      <c r="I59" s="306"/>
      <c r="J59" s="169"/>
    </row>
    <row r="60" spans="1:10">
      <c r="A60" s="376" t="s">
        <v>16</v>
      </c>
      <c r="B60" s="377"/>
      <c r="C60" s="307">
        <f>SUM(C62:C67)</f>
        <v>0</v>
      </c>
      <c r="D60" s="233">
        <v>0</v>
      </c>
      <c r="E60" s="307">
        <f>E62+E64+E66</f>
        <v>0</v>
      </c>
      <c r="F60" s="307">
        <v>0</v>
      </c>
      <c r="G60" s="149"/>
      <c r="H60" s="150"/>
      <c r="I60" s="151"/>
      <c r="J60" s="152"/>
    </row>
    <row r="61" spans="1:10">
      <c r="A61" s="153"/>
      <c r="B61" s="154"/>
      <c r="C61" s="239"/>
      <c r="D61" s="239"/>
      <c r="E61" s="239"/>
      <c r="F61" s="239"/>
      <c r="G61" s="27"/>
      <c r="H61" s="28"/>
      <c r="I61" s="29"/>
      <c r="J61" s="33"/>
    </row>
    <row r="62" spans="1:10" ht="16.5" customHeight="1">
      <c r="A62" s="60"/>
      <c r="B62" s="232" t="s">
        <v>69</v>
      </c>
      <c r="C62" s="294">
        <v>0</v>
      </c>
      <c r="D62" s="231">
        <v>0</v>
      </c>
      <c r="E62" s="68">
        <f>I62</f>
        <v>0</v>
      </c>
      <c r="F62" s="69">
        <f>E62-C62</f>
        <v>0</v>
      </c>
      <c r="G62" s="171" t="s">
        <v>97</v>
      </c>
      <c r="H62" s="95"/>
      <c r="I62" s="301">
        <f>I63</f>
        <v>0</v>
      </c>
      <c r="J62" s="32"/>
    </row>
    <row r="63" spans="1:10" ht="16.5" customHeight="1">
      <c r="A63" s="60"/>
      <c r="B63" s="172"/>
      <c r="C63" s="238"/>
      <c r="D63" s="238"/>
      <c r="E63" s="238"/>
      <c r="F63" s="238"/>
      <c r="G63" s="104"/>
      <c r="H63" s="96"/>
      <c r="I63" s="97">
        <v>0</v>
      </c>
      <c r="J63" s="74"/>
    </row>
    <row r="64" spans="1:10">
      <c r="A64" s="60"/>
      <c r="B64" s="59" t="s">
        <v>70</v>
      </c>
      <c r="C64" s="231">
        <v>0</v>
      </c>
      <c r="D64" s="231">
        <v>0</v>
      </c>
      <c r="E64" s="68">
        <f>I64</f>
        <v>0</v>
      </c>
      <c r="F64" s="69">
        <f>E64-C64</f>
        <v>0</v>
      </c>
      <c r="G64" s="101" t="s">
        <v>98</v>
      </c>
      <c r="H64" s="155"/>
      <c r="I64" s="203">
        <v>0</v>
      </c>
      <c r="J64" s="30"/>
    </row>
    <row r="65" spans="1:10">
      <c r="A65" s="60"/>
      <c r="B65" s="76"/>
      <c r="C65" s="238"/>
      <c r="D65" s="238"/>
      <c r="E65" s="238"/>
      <c r="F65" s="238"/>
      <c r="G65" s="126"/>
      <c r="H65" s="96"/>
      <c r="I65" s="97"/>
      <c r="J65" s="74"/>
    </row>
    <row r="66" spans="1:10">
      <c r="A66" s="60"/>
      <c r="B66" s="62" t="s">
        <v>71</v>
      </c>
      <c r="C66" s="231">
        <v>0</v>
      </c>
      <c r="D66" s="231">
        <v>0</v>
      </c>
      <c r="E66" s="68">
        <f>I66</f>
        <v>0</v>
      </c>
      <c r="F66" s="69">
        <f>E66-C66</f>
        <v>0</v>
      </c>
      <c r="G66" s="171" t="s">
        <v>99</v>
      </c>
      <c r="H66" s="95"/>
      <c r="I66" s="203">
        <v>0</v>
      </c>
      <c r="J66" s="32"/>
    </row>
    <row r="67" spans="1:10" ht="17.25" thickBot="1">
      <c r="A67" s="60"/>
      <c r="B67" s="62"/>
      <c r="C67" s="238"/>
      <c r="D67" s="238"/>
      <c r="E67" s="238"/>
      <c r="F67" s="238"/>
      <c r="G67" s="171"/>
      <c r="H67" s="95"/>
      <c r="I67" s="105"/>
      <c r="J67" s="32"/>
    </row>
    <row r="68" spans="1:10">
      <c r="A68" s="376" t="s">
        <v>17</v>
      </c>
      <c r="B68" s="377"/>
      <c r="C68" s="148">
        <f>SUM(C70:C80)</f>
        <v>190000</v>
      </c>
      <c r="D68" s="147">
        <v>0</v>
      </c>
      <c r="E68" s="148">
        <f>E70+E72+E77+E79</f>
        <v>2817781</v>
      </c>
      <c r="F68" s="148">
        <f>SUM(F70,F72,F77,F79)</f>
        <v>2627781</v>
      </c>
      <c r="G68" s="149"/>
      <c r="H68" s="150"/>
      <c r="I68" s="151"/>
      <c r="J68" s="152"/>
    </row>
    <row r="69" spans="1:10">
      <c r="A69" s="153"/>
      <c r="B69" s="154"/>
      <c r="C69" s="235"/>
      <c r="D69" s="235"/>
      <c r="E69" s="235"/>
      <c r="F69" s="235"/>
      <c r="G69" s="27"/>
      <c r="H69" s="28"/>
      <c r="I69" s="29"/>
      <c r="J69" s="33"/>
    </row>
    <row r="70" spans="1:10">
      <c r="A70" s="58"/>
      <c r="B70" s="59" t="s">
        <v>72</v>
      </c>
      <c r="C70" s="231">
        <v>0</v>
      </c>
      <c r="D70" s="231">
        <v>0</v>
      </c>
      <c r="E70" s="68">
        <f>I70</f>
        <v>0</v>
      </c>
      <c r="F70" s="69">
        <f>E70-C70</f>
        <v>0</v>
      </c>
      <c r="G70" s="101" t="s">
        <v>156</v>
      </c>
      <c r="H70" s="155"/>
      <c r="I70" s="203">
        <v>0</v>
      </c>
      <c r="J70" s="30"/>
    </row>
    <row r="71" spans="1:10">
      <c r="A71" s="60"/>
      <c r="B71" s="62"/>
      <c r="C71" s="238"/>
      <c r="D71" s="238"/>
      <c r="E71" s="238"/>
      <c r="F71" s="238"/>
      <c r="G71" s="173"/>
      <c r="H71" s="95"/>
      <c r="I71" s="105"/>
      <c r="J71" s="57"/>
    </row>
    <row r="72" spans="1:10">
      <c r="A72" s="60"/>
      <c r="B72" s="64" t="s">
        <v>73</v>
      </c>
      <c r="C72" s="68">
        <v>190000</v>
      </c>
      <c r="D72" s="140"/>
      <c r="E72" s="68">
        <f>I72+I74+I75+I76</f>
        <v>2817781</v>
      </c>
      <c r="F72" s="69">
        <f>E72-C72</f>
        <v>2627781</v>
      </c>
      <c r="G72" s="101" t="s">
        <v>87</v>
      </c>
      <c r="H72" s="102"/>
      <c r="I72" s="301">
        <f>I73</f>
        <v>1569496</v>
      </c>
      <c r="J72" s="56"/>
    </row>
    <row r="73" spans="1:10">
      <c r="A73" s="60"/>
      <c r="B73" s="62"/>
      <c r="C73" s="70"/>
      <c r="D73" s="141"/>
      <c r="E73" s="70"/>
      <c r="F73" s="316"/>
      <c r="G73" s="337" t="s">
        <v>329</v>
      </c>
      <c r="H73" s="343" t="s">
        <v>27</v>
      </c>
      <c r="I73" s="344">
        <v>1569496</v>
      </c>
      <c r="J73" s="56"/>
    </row>
    <row r="74" spans="1:10">
      <c r="A74" s="60"/>
      <c r="B74" s="62"/>
      <c r="C74" s="303"/>
      <c r="D74" s="304"/>
      <c r="E74" s="303"/>
      <c r="F74" s="70"/>
      <c r="G74" s="171" t="s">
        <v>140</v>
      </c>
      <c r="H74" s="342"/>
      <c r="I74" s="132">
        <v>0</v>
      </c>
      <c r="J74" s="56"/>
    </row>
    <row r="75" spans="1:10">
      <c r="A75" s="60"/>
      <c r="B75" s="62"/>
      <c r="C75" s="70"/>
      <c r="D75" s="141"/>
      <c r="E75" s="70"/>
      <c r="F75" s="70"/>
      <c r="G75" s="293" t="s">
        <v>216</v>
      </c>
      <c r="H75" s="315"/>
      <c r="I75" s="355"/>
      <c r="J75" s="356"/>
    </row>
    <row r="76" spans="1:10">
      <c r="A76" s="60"/>
      <c r="B76" s="62"/>
      <c r="C76" s="70"/>
      <c r="D76" s="141"/>
      <c r="E76" s="70"/>
      <c r="F76" s="316"/>
      <c r="G76" s="104" t="s">
        <v>330</v>
      </c>
      <c r="H76" s="342"/>
      <c r="I76" s="357">
        <v>1248285</v>
      </c>
      <c r="J76" s="57"/>
    </row>
    <row r="77" spans="1:10">
      <c r="A77" s="60"/>
      <c r="B77" s="59" t="s">
        <v>52</v>
      </c>
      <c r="C77" s="231">
        <v>0</v>
      </c>
      <c r="D77" s="231">
        <v>0</v>
      </c>
      <c r="E77" s="68">
        <f>I77</f>
        <v>0</v>
      </c>
      <c r="F77" s="69">
        <f>E77-C77</f>
        <v>0</v>
      </c>
      <c r="G77" s="101" t="s">
        <v>101</v>
      </c>
      <c r="H77" s="155"/>
      <c r="I77" s="203">
        <v>0</v>
      </c>
      <c r="J77" s="30"/>
    </row>
    <row r="78" spans="1:10">
      <c r="A78" s="60"/>
      <c r="B78" s="62"/>
      <c r="C78" s="238"/>
      <c r="D78" s="238"/>
      <c r="E78" s="238"/>
      <c r="F78" s="238"/>
      <c r="G78" s="171"/>
      <c r="H78" s="95"/>
      <c r="I78" s="105"/>
      <c r="J78" s="32"/>
    </row>
    <row r="79" spans="1:10">
      <c r="A79" s="60"/>
      <c r="B79" s="64" t="s">
        <v>74</v>
      </c>
      <c r="C79" s="231">
        <v>0</v>
      </c>
      <c r="D79" s="231">
        <v>0</v>
      </c>
      <c r="E79" s="68">
        <f>I79</f>
        <v>0</v>
      </c>
      <c r="F79" s="69">
        <f>E79-C79</f>
        <v>0</v>
      </c>
      <c r="G79" s="174" t="s">
        <v>102</v>
      </c>
      <c r="H79" s="175"/>
      <c r="I79" s="203">
        <v>0</v>
      </c>
      <c r="J79" s="30"/>
    </row>
    <row r="80" spans="1:10" ht="17.25" thickBot="1">
      <c r="A80" s="60"/>
      <c r="B80" s="62"/>
      <c r="C80" s="238"/>
      <c r="D80" s="238"/>
      <c r="E80" s="238"/>
      <c r="F80" s="238"/>
      <c r="G80" s="177"/>
      <c r="H80" s="176"/>
      <c r="I80" s="178"/>
      <c r="J80" s="32"/>
    </row>
    <row r="81" spans="1:10">
      <c r="A81" s="378" t="s">
        <v>18</v>
      </c>
      <c r="B81" s="379"/>
      <c r="C81" s="180">
        <f>C68+C60+C49+C31+C7</f>
        <v>16431276</v>
      </c>
      <c r="D81" s="179">
        <v>0</v>
      </c>
      <c r="E81" s="180">
        <f>SUM(E68,E60,E49,E31,E7)</f>
        <v>18274078</v>
      </c>
      <c r="F81" s="290">
        <f>E81-C81</f>
        <v>1842802</v>
      </c>
      <c r="G81" s="185"/>
      <c r="H81" s="186"/>
      <c r="I81" s="184"/>
      <c r="J81" s="181"/>
    </row>
    <row r="82" spans="1:10" ht="17.25" thickBot="1">
      <c r="A82" s="183"/>
      <c r="B82" s="182"/>
      <c r="C82" s="240"/>
      <c r="D82" s="240"/>
      <c r="E82" s="240"/>
      <c r="F82" s="240"/>
      <c r="G82" s="34"/>
      <c r="H82" s="35"/>
      <c r="I82" s="36"/>
      <c r="J82" s="37"/>
    </row>
    <row r="83" spans="1:10">
      <c r="A83" s="65" t="s">
        <v>19</v>
      </c>
      <c r="B83" s="66"/>
      <c r="C83" s="87"/>
      <c r="D83" s="67"/>
      <c r="E83" s="67"/>
      <c r="F83" s="67"/>
    </row>
    <row r="84" spans="1:10">
      <c r="E84" s="1"/>
      <c r="F84" s="1"/>
    </row>
  </sheetData>
  <mergeCells count="13">
    <mergeCell ref="A68:B68"/>
    <mergeCell ref="A81:B81"/>
    <mergeCell ref="A1:J1"/>
    <mergeCell ref="A2:J2"/>
    <mergeCell ref="A3:J3"/>
    <mergeCell ref="A4:J4"/>
    <mergeCell ref="A5:B6"/>
    <mergeCell ref="J5:J6"/>
    <mergeCell ref="A7:B7"/>
    <mergeCell ref="A31:B31"/>
    <mergeCell ref="A49:B49"/>
    <mergeCell ref="A60:B60"/>
    <mergeCell ref="G5:I6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&amp;N페이지 중 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17"/>
  <sheetViews>
    <sheetView zoomScale="130" zoomScaleNormal="130" workbookViewId="0">
      <pane xSplit="1" ySplit="4" topLeftCell="B203" activePane="bottomRight" state="frozen"/>
      <selection pane="topRight" activeCell="B1" sqref="B1"/>
      <selection pane="bottomLeft" activeCell="A5" sqref="A5"/>
      <selection pane="bottomRight" activeCell="I170" sqref="I170"/>
    </sheetView>
  </sheetViews>
  <sheetFormatPr defaultRowHeight="16.5"/>
  <cols>
    <col min="1" max="1" width="1.75" style="14" customWidth="1"/>
    <col min="2" max="2" width="10.625" style="14" customWidth="1"/>
    <col min="3" max="3" width="14.875" style="7" bestFit="1" customWidth="1"/>
    <col min="4" max="4" width="0" style="7" hidden="1" customWidth="1"/>
    <col min="5" max="5" width="15.5" style="7" bestFit="1" customWidth="1"/>
    <col min="6" max="6" width="10.25" style="67" customWidth="1"/>
    <col min="7" max="7" width="40.375" style="9" customWidth="1"/>
    <col min="8" max="8" width="2.125" style="3" customWidth="1"/>
    <col min="9" max="9" width="10.375" style="12" customWidth="1"/>
    <col min="10" max="10" width="5.75" style="2" customWidth="1"/>
    <col min="11" max="11" width="9" style="2"/>
    <col min="12" max="12" width="9.625" style="2" bestFit="1" customWidth="1"/>
    <col min="13" max="16384" width="9" style="2"/>
  </cols>
  <sheetData>
    <row r="1" spans="1:11" ht="18.75">
      <c r="A1" s="382" t="s">
        <v>20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1" ht="17.25" thickBot="1">
      <c r="A2" s="383" t="s">
        <v>198</v>
      </c>
      <c r="B2" s="383"/>
      <c r="C2" s="383"/>
      <c r="D2" s="383"/>
      <c r="E2" s="383"/>
      <c r="F2" s="383"/>
      <c r="G2" s="383"/>
      <c r="H2" s="383"/>
      <c r="I2" s="383"/>
      <c r="J2" s="383"/>
    </row>
    <row r="3" spans="1:11" ht="22.5">
      <c r="A3" s="398" t="s">
        <v>1</v>
      </c>
      <c r="B3" s="399"/>
      <c r="C3" s="4" t="s">
        <v>2</v>
      </c>
      <c r="D3" s="4" t="s">
        <v>4</v>
      </c>
      <c r="E3" s="4" t="s">
        <v>6</v>
      </c>
      <c r="F3" s="78" t="s">
        <v>8</v>
      </c>
      <c r="G3" s="404" t="s">
        <v>220</v>
      </c>
      <c r="H3" s="405"/>
      <c r="I3" s="406"/>
      <c r="J3" s="402" t="s">
        <v>28</v>
      </c>
      <c r="K3" s="3"/>
    </row>
    <row r="4" spans="1:11" ht="17.25" thickBot="1">
      <c r="A4" s="400"/>
      <c r="B4" s="401"/>
      <c r="C4" s="89" t="s">
        <v>3</v>
      </c>
      <c r="D4" s="89" t="s">
        <v>5</v>
      </c>
      <c r="E4" s="89" t="s">
        <v>7</v>
      </c>
      <c r="F4" s="90" t="s">
        <v>9</v>
      </c>
      <c r="G4" s="407"/>
      <c r="H4" s="408"/>
      <c r="I4" s="409"/>
      <c r="J4" s="403"/>
    </row>
    <row r="5" spans="1:11">
      <c r="A5" s="396" t="s">
        <v>21</v>
      </c>
      <c r="B5" s="397"/>
      <c r="C5" s="193">
        <f>SUM(C7,C24,C48)</f>
        <v>8797380</v>
      </c>
      <c r="D5" s="193">
        <v>0</v>
      </c>
      <c r="E5" s="193">
        <f>SUM(E7,E24,E48)</f>
        <v>11089390</v>
      </c>
      <c r="F5" s="194">
        <f>E5-C5</f>
        <v>2292010</v>
      </c>
      <c r="G5" s="195"/>
      <c r="H5" s="196"/>
      <c r="I5" s="197"/>
      <c r="J5" s="198"/>
    </row>
    <row r="6" spans="1:11">
      <c r="A6" s="187"/>
      <c r="B6" s="188"/>
      <c r="C6" s="239"/>
      <c r="D6" s="239"/>
      <c r="E6" s="239"/>
      <c r="F6" s="239"/>
      <c r="G6" s="189"/>
      <c r="H6" s="190"/>
      <c r="I6" s="191"/>
      <c r="J6" s="192"/>
    </row>
    <row r="7" spans="1:11" ht="16.5" customHeight="1">
      <c r="A7" s="20"/>
      <c r="B7" s="55" t="s">
        <v>80</v>
      </c>
      <c r="C7" s="5">
        <v>6469300</v>
      </c>
      <c r="D7" s="5"/>
      <c r="E7" s="5">
        <f>SUM(I7,I10,I19,I21)</f>
        <v>5490800</v>
      </c>
      <c r="F7" s="79">
        <f>E7-C7</f>
        <v>-978500</v>
      </c>
      <c r="G7" s="98" t="s">
        <v>41</v>
      </c>
      <c r="H7" s="99"/>
      <c r="I7" s="100">
        <f>SUM(I8:I9)</f>
        <v>2960800</v>
      </c>
      <c r="J7" s="40"/>
    </row>
    <row r="8" spans="1:11" ht="16.5" customHeight="1">
      <c r="A8" s="22"/>
      <c r="B8" s="292"/>
      <c r="C8" s="238"/>
      <c r="D8" s="238"/>
      <c r="E8" s="238"/>
      <c r="F8" s="238"/>
      <c r="G8" s="45" t="s">
        <v>252</v>
      </c>
      <c r="H8" s="279" t="s">
        <v>27</v>
      </c>
      <c r="I8" s="47">
        <f>45000*4*12</f>
        <v>2160000</v>
      </c>
      <c r="J8" s="41"/>
    </row>
    <row r="9" spans="1:11">
      <c r="A9" s="21"/>
      <c r="B9" s="13"/>
      <c r="C9" s="238"/>
      <c r="D9" s="238"/>
      <c r="E9" s="238"/>
      <c r="F9" s="238"/>
      <c r="G9" s="45" t="s">
        <v>253</v>
      </c>
      <c r="H9" s="279" t="s">
        <v>27</v>
      </c>
      <c r="I9" s="47">
        <f>550*2*4*182</f>
        <v>800800</v>
      </c>
      <c r="J9" s="41"/>
    </row>
    <row r="10" spans="1:11">
      <c r="A10" s="21"/>
      <c r="B10" s="13"/>
      <c r="C10" s="6"/>
      <c r="D10" s="6"/>
      <c r="E10" s="6"/>
      <c r="F10" s="80"/>
      <c r="G10" s="98" t="s">
        <v>54</v>
      </c>
      <c r="H10" s="99"/>
      <c r="I10" s="100">
        <f>SUM(I11:I18)</f>
        <v>2166000</v>
      </c>
      <c r="J10" s="40"/>
    </row>
    <row r="11" spans="1:11">
      <c r="A11" s="21"/>
      <c r="B11" s="13"/>
      <c r="C11" s="6"/>
      <c r="D11" s="6"/>
      <c r="E11" s="6"/>
      <c r="F11" s="80"/>
      <c r="G11" s="45" t="s">
        <v>254</v>
      </c>
      <c r="H11" s="279" t="s">
        <v>27</v>
      </c>
      <c r="I11" s="47">
        <f>4000*4*12</f>
        <v>192000</v>
      </c>
      <c r="J11" s="41"/>
    </row>
    <row r="12" spans="1:11">
      <c r="A12" s="21"/>
      <c r="B12" s="13"/>
      <c r="C12" s="6"/>
      <c r="D12" s="6"/>
      <c r="E12" s="6"/>
      <c r="F12" s="80"/>
      <c r="G12" s="45" t="s">
        <v>255</v>
      </c>
      <c r="H12" s="279" t="s">
        <v>27</v>
      </c>
      <c r="I12" s="47">
        <f>4000*1*12+2000*2*12</f>
        <v>96000</v>
      </c>
      <c r="J12" s="41"/>
    </row>
    <row r="13" spans="1:11">
      <c r="A13" s="21"/>
      <c r="B13" s="13"/>
      <c r="C13" s="6"/>
      <c r="D13" s="6"/>
      <c r="E13" s="6"/>
      <c r="F13" s="80"/>
      <c r="G13" s="309" t="s">
        <v>256</v>
      </c>
      <c r="H13" s="326" t="s">
        <v>27</v>
      </c>
      <c r="I13" s="310">
        <f>7000*4*12</f>
        <v>336000</v>
      </c>
      <c r="J13" s="41"/>
    </row>
    <row r="14" spans="1:11">
      <c r="A14" s="21"/>
      <c r="B14" s="13"/>
      <c r="C14" s="6"/>
      <c r="D14" s="6"/>
      <c r="E14" s="6"/>
      <c r="F14" s="80"/>
      <c r="G14" s="309" t="s">
        <v>267</v>
      </c>
      <c r="H14" s="326" t="s">
        <v>27</v>
      </c>
      <c r="I14" s="310">
        <f>18000*4*12</f>
        <v>864000</v>
      </c>
      <c r="J14" s="41"/>
    </row>
    <row r="15" spans="1:11">
      <c r="A15" s="21"/>
      <c r="B15" s="13"/>
      <c r="C15" s="6"/>
      <c r="D15" s="6"/>
      <c r="E15" s="6"/>
      <c r="F15" s="80"/>
      <c r="G15" s="309" t="s">
        <v>268</v>
      </c>
      <c r="H15" s="326" t="s">
        <v>266</v>
      </c>
      <c r="I15" s="310">
        <f>2000*4*12</f>
        <v>96000</v>
      </c>
      <c r="J15" s="41"/>
    </row>
    <row r="16" spans="1:11">
      <c r="A16" s="21"/>
      <c r="B16" s="13"/>
      <c r="C16" s="6"/>
      <c r="D16" s="6"/>
      <c r="E16" s="6"/>
      <c r="F16" s="80"/>
      <c r="G16" s="83" t="s">
        <v>257</v>
      </c>
      <c r="H16" s="84" t="s">
        <v>109</v>
      </c>
      <c r="I16" s="85">
        <f>7000*4*12</f>
        <v>336000</v>
      </c>
      <c r="J16" s="86"/>
    </row>
    <row r="17" spans="1:10">
      <c r="A17" s="21"/>
      <c r="B17" s="13"/>
      <c r="C17" s="6"/>
      <c r="D17" s="6"/>
      <c r="E17" s="6"/>
      <c r="F17" s="80"/>
      <c r="G17" s="45" t="s">
        <v>258</v>
      </c>
      <c r="H17" s="279" t="s">
        <v>27</v>
      </c>
      <c r="I17" s="47">
        <f>4000*4*12</f>
        <v>192000</v>
      </c>
      <c r="J17" s="41"/>
    </row>
    <row r="18" spans="1:10">
      <c r="A18" s="21"/>
      <c r="B18" s="13"/>
      <c r="C18" s="6"/>
      <c r="D18" s="6"/>
      <c r="E18" s="6"/>
      <c r="F18" s="80"/>
      <c r="G18" s="49" t="s">
        <v>176</v>
      </c>
      <c r="H18" s="282" t="s">
        <v>34</v>
      </c>
      <c r="I18" s="51">
        <f>300*5*3*12</f>
        <v>54000</v>
      </c>
      <c r="J18" s="42"/>
    </row>
    <row r="19" spans="1:10">
      <c r="A19" s="21"/>
      <c r="B19" s="13"/>
      <c r="C19" s="6"/>
      <c r="D19" s="6"/>
      <c r="E19" s="6"/>
      <c r="F19" s="80"/>
      <c r="G19" s="98" t="s">
        <v>55</v>
      </c>
      <c r="H19" s="99"/>
      <c r="I19" s="100">
        <f>SUM(I20)</f>
        <v>216000</v>
      </c>
      <c r="J19" s="40"/>
    </row>
    <row r="20" spans="1:10">
      <c r="A20" s="21"/>
      <c r="B20" s="13"/>
      <c r="C20" s="6"/>
      <c r="D20" s="6"/>
      <c r="E20" s="6"/>
      <c r="F20" s="80"/>
      <c r="G20" s="49" t="s">
        <v>235</v>
      </c>
      <c r="H20" s="282" t="s">
        <v>34</v>
      </c>
      <c r="I20" s="51">
        <f>45000*4*2*0.6</f>
        <v>216000</v>
      </c>
      <c r="J20" s="42"/>
    </row>
    <row r="21" spans="1:10">
      <c r="A21" s="21"/>
      <c r="B21" s="13"/>
      <c r="C21" s="6"/>
      <c r="D21" s="6"/>
      <c r="E21" s="6"/>
      <c r="F21" s="80"/>
      <c r="G21" s="98" t="s">
        <v>77</v>
      </c>
      <c r="H21" s="99"/>
      <c r="I21" s="100">
        <f>SUM(I22:I23)</f>
        <v>148000</v>
      </c>
      <c r="J21" s="53"/>
    </row>
    <row r="22" spans="1:10">
      <c r="A22" s="21"/>
      <c r="B22" s="13"/>
      <c r="C22" s="6"/>
      <c r="D22" s="6"/>
      <c r="E22" s="6"/>
      <c r="F22" s="80"/>
      <c r="G22" s="45" t="s">
        <v>259</v>
      </c>
      <c r="H22" s="279" t="s">
        <v>260</v>
      </c>
      <c r="I22" s="47">
        <f>17000*4</f>
        <v>68000</v>
      </c>
      <c r="J22" s="48"/>
    </row>
    <row r="23" spans="1:10">
      <c r="A23" s="21"/>
      <c r="B23" s="13"/>
      <c r="C23" s="6"/>
      <c r="D23" s="6"/>
      <c r="E23" s="6"/>
      <c r="F23" s="80"/>
      <c r="G23" s="49" t="s">
        <v>261</v>
      </c>
      <c r="H23" s="282" t="s">
        <v>260</v>
      </c>
      <c r="I23" s="51">
        <v>80000</v>
      </c>
      <c r="J23" s="52"/>
    </row>
    <row r="24" spans="1:10" ht="16.5" customHeight="1">
      <c r="A24" s="22"/>
      <c r="B24" s="410" t="s">
        <v>79</v>
      </c>
      <c r="C24" s="5">
        <v>1834080</v>
      </c>
      <c r="D24" s="5"/>
      <c r="E24" s="5">
        <f>SUM(I24,I36,I43,I45)</f>
        <v>5298590</v>
      </c>
      <c r="F24" s="79">
        <f>E24-C24</f>
        <v>3464510</v>
      </c>
      <c r="G24" s="98" t="s">
        <v>41</v>
      </c>
      <c r="H24" s="99"/>
      <c r="I24" s="100">
        <f>SUM(I25:I35)</f>
        <v>4390190</v>
      </c>
      <c r="J24" s="40"/>
    </row>
    <row r="25" spans="1:10" s="11" customFormat="1">
      <c r="A25" s="278"/>
      <c r="B25" s="411"/>
      <c r="C25" s="280"/>
      <c r="D25" s="280"/>
      <c r="E25" s="280"/>
      <c r="F25" s="280"/>
      <c r="G25" s="45" t="s">
        <v>190</v>
      </c>
      <c r="H25" s="279" t="s">
        <v>27</v>
      </c>
      <c r="I25" s="47">
        <f>45000*12</f>
        <v>540000</v>
      </c>
      <c r="J25" s="48"/>
    </row>
    <row r="26" spans="1:10" s="11" customFormat="1">
      <c r="A26" s="278"/>
      <c r="B26" s="308"/>
      <c r="C26" s="280"/>
      <c r="D26" s="280"/>
      <c r="E26" s="280"/>
      <c r="F26" s="280"/>
      <c r="G26" s="45" t="s">
        <v>262</v>
      </c>
      <c r="H26" s="279" t="s">
        <v>27</v>
      </c>
      <c r="I26" s="47">
        <f>32000*12</f>
        <v>384000</v>
      </c>
      <c r="J26" s="48"/>
    </row>
    <row r="27" spans="1:10" s="11" customFormat="1">
      <c r="A27" s="278"/>
      <c r="B27" s="281"/>
      <c r="C27" s="112"/>
      <c r="D27" s="112"/>
      <c r="E27" s="112"/>
      <c r="F27" s="113"/>
      <c r="G27" s="309" t="s">
        <v>326</v>
      </c>
      <c r="H27" s="326" t="s">
        <v>27</v>
      </c>
      <c r="I27" s="310">
        <f>230*8*182</f>
        <v>334880</v>
      </c>
      <c r="J27" s="48"/>
    </row>
    <row r="28" spans="1:10" s="11" customFormat="1">
      <c r="A28" s="278"/>
      <c r="B28" s="281"/>
      <c r="C28" s="112"/>
      <c r="D28" s="112"/>
      <c r="E28" s="112"/>
      <c r="F28" s="113"/>
      <c r="G28" s="309" t="s">
        <v>328</v>
      </c>
      <c r="H28" s="326" t="s">
        <v>260</v>
      </c>
      <c r="I28" s="310">
        <f>170*1*6*182</f>
        <v>185640</v>
      </c>
      <c r="J28" s="48"/>
    </row>
    <row r="29" spans="1:10" s="11" customFormat="1" ht="23.25" customHeight="1">
      <c r="A29" s="278"/>
      <c r="B29" s="281"/>
      <c r="C29" s="112"/>
      <c r="D29" s="112"/>
      <c r="E29" s="112"/>
      <c r="F29" s="113"/>
      <c r="G29" s="351" t="s">
        <v>324</v>
      </c>
      <c r="H29" s="279" t="s">
        <v>263</v>
      </c>
      <c r="I29" s="47">
        <f>660*3*4*180</f>
        <v>1425600</v>
      </c>
      <c r="J29" s="48"/>
    </row>
    <row r="30" spans="1:10" s="11" customFormat="1" ht="63" customHeight="1">
      <c r="A30" s="278"/>
      <c r="B30" s="281"/>
      <c r="C30" s="112"/>
      <c r="D30" s="112"/>
      <c r="E30" s="112"/>
      <c r="F30" s="113"/>
      <c r="G30" s="351" t="s">
        <v>325</v>
      </c>
      <c r="H30" s="279" t="s">
        <v>260</v>
      </c>
      <c r="I30" s="47">
        <f>610*4*143+560*4*143+610*3.5*143</f>
        <v>974545</v>
      </c>
      <c r="J30" s="48"/>
    </row>
    <row r="31" spans="1:10" s="11" customFormat="1">
      <c r="A31" s="278"/>
      <c r="B31" s="281"/>
      <c r="C31" s="112"/>
      <c r="D31" s="112"/>
      <c r="E31" s="112"/>
      <c r="F31" s="113"/>
      <c r="G31" s="309" t="s">
        <v>264</v>
      </c>
      <c r="H31" s="327" t="s">
        <v>27</v>
      </c>
      <c r="I31" s="310">
        <f>2000*2*10</f>
        <v>40000</v>
      </c>
      <c r="J31" s="48"/>
    </row>
    <row r="32" spans="1:10" s="11" customFormat="1" ht="39.75" customHeight="1">
      <c r="A32" s="278"/>
      <c r="B32" s="281"/>
      <c r="C32" s="112"/>
      <c r="D32" s="112"/>
      <c r="E32" s="112"/>
      <c r="F32" s="113"/>
      <c r="G32" s="349" t="s">
        <v>269</v>
      </c>
      <c r="H32" s="327" t="s">
        <v>27</v>
      </c>
      <c r="I32" s="310">
        <f>160*182*5+160*182*2.5</f>
        <v>218400</v>
      </c>
      <c r="J32" s="48"/>
    </row>
    <row r="33" spans="1:10" s="11" customFormat="1" ht="22.5">
      <c r="A33" s="278"/>
      <c r="B33" s="281"/>
      <c r="C33" s="112"/>
      <c r="D33" s="112"/>
      <c r="E33" s="112"/>
      <c r="F33" s="113"/>
      <c r="G33" s="349" t="s">
        <v>270</v>
      </c>
      <c r="H33" s="327" t="s">
        <v>27</v>
      </c>
      <c r="I33" s="310">
        <f>325*22*5+425*22*2.5</f>
        <v>59125</v>
      </c>
      <c r="J33" s="48"/>
    </row>
    <row r="34" spans="1:10" s="11" customFormat="1">
      <c r="A34" s="278"/>
      <c r="B34" s="281"/>
      <c r="C34" s="112"/>
      <c r="D34" s="112"/>
      <c r="E34" s="112"/>
      <c r="F34" s="113"/>
      <c r="G34" s="349" t="s">
        <v>279</v>
      </c>
      <c r="H34" s="327" t="s">
        <v>260</v>
      </c>
      <c r="I34" s="310">
        <f>900*3*40</f>
        <v>108000</v>
      </c>
      <c r="J34" s="48"/>
    </row>
    <row r="35" spans="1:10" s="11" customFormat="1">
      <c r="A35" s="278"/>
      <c r="B35" s="111"/>
      <c r="C35" s="112"/>
      <c r="D35" s="112"/>
      <c r="E35" s="112"/>
      <c r="F35" s="113"/>
      <c r="G35" s="45" t="s">
        <v>265</v>
      </c>
      <c r="H35" s="279" t="s">
        <v>27</v>
      </c>
      <c r="I35" s="47">
        <f>12000*10</f>
        <v>120000</v>
      </c>
      <c r="J35" s="48"/>
    </row>
    <row r="36" spans="1:10" s="11" customFormat="1">
      <c r="A36" s="278"/>
      <c r="B36" s="111"/>
      <c r="C36" s="112"/>
      <c r="D36" s="112"/>
      <c r="E36" s="112"/>
      <c r="F36" s="113"/>
      <c r="G36" s="98" t="s">
        <v>54</v>
      </c>
      <c r="H36" s="99"/>
      <c r="I36" s="100">
        <f>SUM(I37:I42)</f>
        <v>585600</v>
      </c>
      <c r="J36" s="53"/>
    </row>
    <row r="37" spans="1:10" s="11" customFormat="1">
      <c r="A37" s="278"/>
      <c r="B37" s="111"/>
      <c r="C37" s="112"/>
      <c r="D37" s="112"/>
      <c r="E37" s="112"/>
      <c r="F37" s="113"/>
      <c r="G37" s="45" t="s">
        <v>219</v>
      </c>
      <c r="H37" s="279" t="s">
        <v>27</v>
      </c>
      <c r="I37" s="47">
        <f>4000*12</f>
        <v>48000</v>
      </c>
      <c r="J37" s="48"/>
    </row>
    <row r="38" spans="1:10" s="11" customFormat="1">
      <c r="A38" s="278"/>
      <c r="B38" s="111"/>
      <c r="C38" s="112"/>
      <c r="D38" s="112"/>
      <c r="E38" s="112"/>
      <c r="F38" s="113"/>
      <c r="G38" s="309" t="s">
        <v>236</v>
      </c>
      <c r="H38" s="326" t="s">
        <v>27</v>
      </c>
      <c r="I38" s="310">
        <f>6000*12</f>
        <v>72000</v>
      </c>
      <c r="J38" s="48"/>
    </row>
    <row r="39" spans="1:10" s="11" customFormat="1">
      <c r="A39" s="278"/>
      <c r="B39" s="111"/>
      <c r="C39" s="112"/>
      <c r="D39" s="112"/>
      <c r="E39" s="112"/>
      <c r="F39" s="113"/>
      <c r="G39" s="309" t="s">
        <v>221</v>
      </c>
      <c r="H39" s="326" t="s">
        <v>27</v>
      </c>
      <c r="I39" s="310">
        <f>7000*2*12</f>
        <v>168000</v>
      </c>
      <c r="J39" s="48"/>
    </row>
    <row r="40" spans="1:10" s="11" customFormat="1">
      <c r="A40" s="278"/>
      <c r="B40" s="111"/>
      <c r="C40" s="112"/>
      <c r="D40" s="112"/>
      <c r="E40" s="112"/>
      <c r="F40" s="113"/>
      <c r="G40" s="309" t="s">
        <v>271</v>
      </c>
      <c r="H40" s="326" t="s">
        <v>27</v>
      </c>
      <c r="I40" s="310">
        <f>2000*1*12</f>
        <v>24000</v>
      </c>
      <c r="J40" s="48"/>
    </row>
    <row r="41" spans="1:10" s="11" customFormat="1" ht="17.25" customHeight="1">
      <c r="A41" s="278"/>
      <c r="B41" s="111"/>
      <c r="C41" s="112"/>
      <c r="D41" s="112"/>
      <c r="E41" s="112"/>
      <c r="F41" s="113"/>
      <c r="G41" s="309" t="s">
        <v>222</v>
      </c>
      <c r="H41" s="326" t="s">
        <v>27</v>
      </c>
      <c r="I41" s="310">
        <f>18000*12</f>
        <v>216000</v>
      </c>
      <c r="J41" s="48"/>
    </row>
    <row r="42" spans="1:10" s="11" customFormat="1">
      <c r="A42" s="278"/>
      <c r="B42" s="111"/>
      <c r="C42" s="112"/>
      <c r="D42" s="112"/>
      <c r="E42" s="112"/>
      <c r="F42" s="113"/>
      <c r="G42" s="49" t="s">
        <v>177</v>
      </c>
      <c r="H42" s="282" t="s">
        <v>27</v>
      </c>
      <c r="I42" s="51">
        <f>300*2*8*12</f>
        <v>57600</v>
      </c>
      <c r="J42" s="48"/>
    </row>
    <row r="43" spans="1:10" s="11" customFormat="1">
      <c r="A43" s="278"/>
      <c r="B43" s="111"/>
      <c r="C43" s="112"/>
      <c r="D43" s="112"/>
      <c r="E43" s="112"/>
      <c r="F43" s="113"/>
      <c r="G43" s="98" t="s">
        <v>55</v>
      </c>
      <c r="H43" s="99"/>
      <c r="I43" s="100">
        <f>SUM(I44:I44)</f>
        <v>92400</v>
      </c>
      <c r="J43" s="53"/>
    </row>
    <row r="44" spans="1:10" s="11" customFormat="1">
      <c r="A44" s="278"/>
      <c r="B44" s="111"/>
      <c r="C44" s="112"/>
      <c r="D44" s="112"/>
      <c r="E44" s="112"/>
      <c r="F44" s="113"/>
      <c r="G44" s="49" t="s">
        <v>237</v>
      </c>
      <c r="H44" s="282" t="s">
        <v>34</v>
      </c>
      <c r="I44" s="51">
        <f>38500*2*2*0.6</f>
        <v>92400</v>
      </c>
      <c r="J44" s="52"/>
    </row>
    <row r="45" spans="1:10" ht="15.75" customHeight="1">
      <c r="A45" s="21"/>
      <c r="B45" s="13"/>
      <c r="C45" s="6"/>
      <c r="D45" s="6"/>
      <c r="E45" s="6"/>
      <c r="F45" s="80"/>
      <c r="G45" s="98" t="s">
        <v>77</v>
      </c>
      <c r="H45" s="99"/>
      <c r="I45" s="100">
        <f>SUM(I46:I47)</f>
        <v>230400</v>
      </c>
      <c r="J45" s="40"/>
    </row>
    <row r="46" spans="1:10">
      <c r="A46" s="21"/>
      <c r="B46" s="13"/>
      <c r="C46" s="6"/>
      <c r="D46" s="6"/>
      <c r="E46" s="6"/>
      <c r="F46" s="80"/>
      <c r="G46" s="309" t="s">
        <v>299</v>
      </c>
      <c r="H46" s="326" t="s">
        <v>34</v>
      </c>
      <c r="I46" s="310">
        <f>16000*12</f>
        <v>192000</v>
      </c>
      <c r="J46" s="41"/>
    </row>
    <row r="47" spans="1:10">
      <c r="A47" s="21"/>
      <c r="B47" s="13"/>
      <c r="C47" s="6"/>
      <c r="D47" s="6"/>
      <c r="E47" s="6"/>
      <c r="F47" s="80"/>
      <c r="G47" s="330" t="s">
        <v>238</v>
      </c>
      <c r="H47" s="352" t="s">
        <v>34</v>
      </c>
      <c r="I47" s="339">
        <f>3200*12</f>
        <v>38400</v>
      </c>
      <c r="J47" s="42"/>
    </row>
    <row r="48" spans="1:10" ht="16.5" customHeight="1">
      <c r="A48" s="22"/>
      <c r="B48" s="410" t="s">
        <v>42</v>
      </c>
      <c r="C48" s="5">
        <v>494000</v>
      </c>
      <c r="D48" s="5"/>
      <c r="E48" s="5">
        <f>SUM(I48,I50)</f>
        <v>300000</v>
      </c>
      <c r="F48" s="79">
        <f>E48-C48</f>
        <v>-194000</v>
      </c>
      <c r="G48" s="98" t="s">
        <v>275</v>
      </c>
      <c r="H48" s="99"/>
      <c r="I48" s="100">
        <f>SUM(I49:I49)</f>
        <v>210000</v>
      </c>
      <c r="J48" s="40"/>
    </row>
    <row r="49" spans="1:10">
      <c r="A49" s="21"/>
      <c r="B49" s="412"/>
      <c r="C49" s="238"/>
      <c r="D49" s="238"/>
      <c r="E49" s="238"/>
      <c r="F49" s="238"/>
      <c r="G49" s="309" t="s">
        <v>298</v>
      </c>
      <c r="H49" s="326" t="s">
        <v>27</v>
      </c>
      <c r="I49" s="310">
        <v>210000</v>
      </c>
      <c r="J49" s="41"/>
    </row>
    <row r="50" spans="1:10">
      <c r="A50" s="21"/>
      <c r="B50" s="13"/>
      <c r="C50" s="246"/>
      <c r="D50" s="246"/>
      <c r="E50" s="246"/>
      <c r="F50" s="80"/>
      <c r="G50" s="98" t="s">
        <v>92</v>
      </c>
      <c r="H50" s="99"/>
      <c r="I50" s="100">
        <f>SUM(I51:I51)</f>
        <v>90000</v>
      </c>
      <c r="J50" s="40"/>
    </row>
    <row r="51" spans="1:10" ht="17.25" thickBot="1">
      <c r="A51" s="21"/>
      <c r="B51" s="13"/>
      <c r="C51" s="6"/>
      <c r="D51" s="6"/>
      <c r="E51" s="6"/>
      <c r="F51" s="80"/>
      <c r="G51" s="45" t="s">
        <v>276</v>
      </c>
      <c r="H51" s="279" t="s">
        <v>27</v>
      </c>
      <c r="I51" s="47">
        <f>90000*1</f>
        <v>90000</v>
      </c>
      <c r="J51" s="41"/>
    </row>
    <row r="52" spans="1:10" ht="16.5" customHeight="1">
      <c r="A52" s="414" t="s">
        <v>22</v>
      </c>
      <c r="B52" s="415"/>
      <c r="C52" s="193">
        <f>SUM(C54,C87,C136,C158)</f>
        <v>5177972</v>
      </c>
      <c r="D52" s="193">
        <v>0</v>
      </c>
      <c r="E52" s="193">
        <f>E54+E87+E136+E158</f>
        <v>3083768</v>
      </c>
      <c r="F52" s="194">
        <f>E52-C52</f>
        <v>-2094204</v>
      </c>
      <c r="G52" s="195"/>
      <c r="H52" s="196" t="s">
        <v>27</v>
      </c>
      <c r="I52" s="197"/>
      <c r="J52" s="198"/>
    </row>
    <row r="53" spans="1:10" ht="16.5" customHeight="1">
      <c r="A53" s="199"/>
      <c r="B53" s="200"/>
      <c r="C53" s="239"/>
      <c r="D53" s="239"/>
      <c r="E53" s="239"/>
      <c r="F53" s="239"/>
      <c r="G53" s="189"/>
      <c r="H53" s="190"/>
      <c r="I53" s="191"/>
      <c r="J53" s="192"/>
    </row>
    <row r="54" spans="1:10" s="10" customFormat="1" ht="16.5" customHeight="1">
      <c r="A54" s="23"/>
      <c r="B54" s="16" t="s">
        <v>43</v>
      </c>
      <c r="C54" s="5">
        <v>1490962</v>
      </c>
      <c r="D54" s="5"/>
      <c r="E54" s="5">
        <f>I54+I69+I82+I85</f>
        <v>1367938</v>
      </c>
      <c r="F54" s="79">
        <f>E54-C54</f>
        <v>-123024</v>
      </c>
      <c r="G54" s="98" t="s">
        <v>110</v>
      </c>
      <c r="H54" s="107"/>
      <c r="I54" s="100">
        <f>SUM(I55:I68)</f>
        <v>356350</v>
      </c>
      <c r="J54" s="44"/>
    </row>
    <row r="55" spans="1:10">
      <c r="A55" s="18"/>
      <c r="B55" s="13"/>
      <c r="C55" s="238"/>
      <c r="D55" s="238"/>
      <c r="E55" s="238"/>
      <c r="F55" s="238"/>
      <c r="G55" s="45" t="s">
        <v>116</v>
      </c>
      <c r="H55" s="46" t="s">
        <v>27</v>
      </c>
      <c r="I55" s="47">
        <f>200*12*2*12</f>
        <v>57600</v>
      </c>
      <c r="J55" s="41"/>
    </row>
    <row r="56" spans="1:10">
      <c r="A56" s="18"/>
      <c r="B56" s="13"/>
      <c r="C56" s="6"/>
      <c r="D56" s="6"/>
      <c r="E56" s="6"/>
      <c r="F56" s="80"/>
      <c r="G56" s="45" t="s">
        <v>201</v>
      </c>
      <c r="H56" s="46" t="s">
        <v>27</v>
      </c>
      <c r="I56" s="47">
        <f>20000*2*2+96000</f>
        <v>176000</v>
      </c>
      <c r="J56" s="41"/>
    </row>
    <row r="57" spans="1:10">
      <c r="A57" s="18"/>
      <c r="B57" s="13"/>
      <c r="C57" s="6"/>
      <c r="D57" s="6"/>
      <c r="E57" s="6"/>
      <c r="F57" s="80"/>
      <c r="G57" s="45" t="s">
        <v>170</v>
      </c>
      <c r="H57" s="46" t="s">
        <v>27</v>
      </c>
      <c r="I57" s="47">
        <f>32000*1</f>
        <v>32000</v>
      </c>
      <c r="J57" s="48"/>
    </row>
    <row r="58" spans="1:10" s="10" customFormat="1">
      <c r="A58" s="18"/>
      <c r="B58" s="13"/>
      <c r="C58" s="6"/>
      <c r="D58" s="6"/>
      <c r="E58" s="6"/>
      <c r="F58" s="80"/>
      <c r="G58" s="45" t="s">
        <v>203</v>
      </c>
      <c r="H58" s="46" t="s">
        <v>27</v>
      </c>
      <c r="I58" s="47">
        <f>300*8*4</f>
        <v>9600</v>
      </c>
      <c r="J58" s="41"/>
    </row>
    <row r="59" spans="1:10">
      <c r="A59" s="18"/>
      <c r="B59" s="13"/>
      <c r="C59" s="6"/>
      <c r="D59" s="6"/>
      <c r="E59" s="6"/>
      <c r="F59" s="80"/>
      <c r="G59" s="45" t="s">
        <v>204</v>
      </c>
      <c r="H59" s="46" t="s">
        <v>27</v>
      </c>
      <c r="I59" s="47">
        <f>300*8*2</f>
        <v>4800</v>
      </c>
      <c r="J59" s="41"/>
    </row>
    <row r="60" spans="1:10">
      <c r="A60" s="18"/>
      <c r="B60" s="13"/>
      <c r="C60" s="6"/>
      <c r="D60" s="6"/>
      <c r="E60" s="6"/>
      <c r="F60" s="80"/>
      <c r="G60" s="45" t="s">
        <v>313</v>
      </c>
      <c r="H60" s="46" t="s">
        <v>27</v>
      </c>
      <c r="I60" s="47">
        <f>300*3*1</f>
        <v>900</v>
      </c>
      <c r="J60" s="41"/>
    </row>
    <row r="61" spans="1:10">
      <c r="A61" s="18"/>
      <c r="B61" s="13"/>
      <c r="C61" s="6"/>
      <c r="D61" s="6"/>
      <c r="E61" s="6"/>
      <c r="F61" s="80"/>
      <c r="G61" s="45" t="s">
        <v>319</v>
      </c>
      <c r="H61" s="46" t="s">
        <v>27</v>
      </c>
      <c r="I61" s="47">
        <f>300*3*1</f>
        <v>900</v>
      </c>
      <c r="J61" s="41"/>
    </row>
    <row r="62" spans="1:10">
      <c r="A62" s="18"/>
      <c r="B62" s="13"/>
      <c r="C62" s="6"/>
      <c r="D62" s="6"/>
      <c r="E62" s="6"/>
      <c r="F62" s="80"/>
      <c r="G62" s="45" t="s">
        <v>320</v>
      </c>
      <c r="H62" s="46" t="s">
        <v>27</v>
      </c>
      <c r="I62" s="47">
        <v>4500</v>
      </c>
      <c r="J62" s="41"/>
    </row>
    <row r="63" spans="1:10">
      <c r="A63" s="18"/>
      <c r="B63" s="13"/>
      <c r="C63" s="6"/>
      <c r="D63" s="6"/>
      <c r="E63" s="6"/>
      <c r="F63" s="80"/>
      <c r="G63" s="45" t="s">
        <v>321</v>
      </c>
      <c r="H63" s="46" t="s">
        <v>27</v>
      </c>
      <c r="I63" s="47">
        <v>9000</v>
      </c>
      <c r="J63" s="41"/>
    </row>
    <row r="64" spans="1:10">
      <c r="A64" s="18"/>
      <c r="B64" s="13"/>
      <c r="C64" s="6"/>
      <c r="D64" s="6"/>
      <c r="E64" s="6"/>
      <c r="F64" s="80"/>
      <c r="G64" s="45" t="s">
        <v>139</v>
      </c>
      <c r="H64" s="46" t="s">
        <v>117</v>
      </c>
      <c r="I64" s="47">
        <v>750</v>
      </c>
      <c r="J64" s="41"/>
    </row>
    <row r="65" spans="1:10">
      <c r="A65" s="18"/>
      <c r="B65" s="13"/>
      <c r="C65" s="6"/>
      <c r="D65" s="6"/>
      <c r="E65" s="6"/>
      <c r="F65" s="80"/>
      <c r="G65" s="45" t="s">
        <v>169</v>
      </c>
      <c r="H65" s="46" t="s">
        <v>117</v>
      </c>
      <c r="I65" s="47">
        <f>500*5</f>
        <v>2500</v>
      </c>
      <c r="J65" s="41"/>
    </row>
    <row r="66" spans="1:10">
      <c r="A66" s="18"/>
      <c r="B66" s="13"/>
      <c r="C66" s="6"/>
      <c r="D66" s="6"/>
      <c r="E66" s="6"/>
      <c r="F66" s="80"/>
      <c r="G66" s="45" t="s">
        <v>171</v>
      </c>
      <c r="H66" s="46" t="s">
        <v>117</v>
      </c>
      <c r="I66" s="47">
        <f>30*50</f>
        <v>1500</v>
      </c>
      <c r="J66" s="41"/>
    </row>
    <row r="67" spans="1:10">
      <c r="A67" s="18"/>
      <c r="B67" s="13"/>
      <c r="C67" s="6"/>
      <c r="D67" s="6"/>
      <c r="E67" s="6"/>
      <c r="F67" s="80"/>
      <c r="G67" s="45" t="s">
        <v>197</v>
      </c>
      <c r="H67" s="46" t="s">
        <v>27</v>
      </c>
      <c r="I67" s="47">
        <f>6300</f>
        <v>6300</v>
      </c>
      <c r="J67" s="41"/>
    </row>
    <row r="68" spans="1:10" s="11" customFormat="1">
      <c r="A68" s="110"/>
      <c r="B68" s="111"/>
      <c r="C68" s="112"/>
      <c r="D68" s="112"/>
      <c r="E68" s="112"/>
      <c r="F68" s="113"/>
      <c r="G68" s="45" t="s">
        <v>196</v>
      </c>
      <c r="H68" s="46" t="s">
        <v>27</v>
      </c>
      <c r="I68" s="47">
        <f>10000*5</f>
        <v>50000</v>
      </c>
      <c r="J68" s="48"/>
    </row>
    <row r="69" spans="1:10" s="11" customFormat="1">
      <c r="A69" s="110"/>
      <c r="B69" s="111"/>
      <c r="C69" s="112"/>
      <c r="D69" s="112"/>
      <c r="E69" s="112"/>
      <c r="F69" s="113"/>
      <c r="G69" s="98" t="s">
        <v>108</v>
      </c>
      <c r="H69" s="107"/>
      <c r="I69" s="100">
        <f>SUM(I70:I81)</f>
        <v>892200</v>
      </c>
      <c r="J69" s="53"/>
    </row>
    <row r="70" spans="1:10" s="11" customFormat="1">
      <c r="A70" s="110"/>
      <c r="B70" s="111"/>
      <c r="C70" s="112"/>
      <c r="D70" s="112"/>
      <c r="E70" s="112"/>
      <c r="F70" s="113"/>
      <c r="G70" s="45" t="s">
        <v>194</v>
      </c>
      <c r="H70" s="46" t="s">
        <v>27</v>
      </c>
      <c r="I70" s="47">
        <f>5500*12</f>
        <v>66000</v>
      </c>
      <c r="J70" s="48"/>
    </row>
    <row r="71" spans="1:10" s="11" customFormat="1">
      <c r="A71" s="110"/>
      <c r="B71" s="111"/>
      <c r="C71" s="112"/>
      <c r="D71" s="112"/>
      <c r="E71" s="112"/>
      <c r="F71" s="113"/>
      <c r="G71" s="45" t="s">
        <v>239</v>
      </c>
      <c r="H71" s="46" t="s">
        <v>27</v>
      </c>
      <c r="I71" s="47">
        <f>20000*12</f>
        <v>240000</v>
      </c>
      <c r="J71" s="48"/>
    </row>
    <row r="72" spans="1:10" s="11" customFormat="1">
      <c r="A72" s="110"/>
      <c r="B72" s="111"/>
      <c r="C72" s="112"/>
      <c r="D72" s="112"/>
      <c r="E72" s="112"/>
      <c r="F72" s="113"/>
      <c r="G72" s="45" t="s">
        <v>160</v>
      </c>
      <c r="H72" s="46" t="s">
        <v>27</v>
      </c>
      <c r="I72" s="47">
        <f>500*12</f>
        <v>6000</v>
      </c>
      <c r="J72" s="48"/>
    </row>
    <row r="73" spans="1:10" s="11" customFormat="1" ht="15.75" customHeight="1">
      <c r="A73" s="110"/>
      <c r="B73" s="111"/>
      <c r="C73" s="112"/>
      <c r="D73" s="112"/>
      <c r="E73" s="112"/>
      <c r="F73" s="113"/>
      <c r="G73" s="45" t="s">
        <v>174</v>
      </c>
      <c r="H73" s="46" t="s">
        <v>27</v>
      </c>
      <c r="I73" s="47">
        <f>150*12</f>
        <v>1800</v>
      </c>
      <c r="J73" s="48"/>
    </row>
    <row r="74" spans="1:10" s="11" customFormat="1">
      <c r="A74" s="110"/>
      <c r="B74" s="111"/>
      <c r="C74" s="112"/>
      <c r="D74" s="112"/>
      <c r="E74" s="112"/>
      <c r="F74" s="113"/>
      <c r="G74" s="45" t="s">
        <v>277</v>
      </c>
      <c r="H74" s="46" t="s">
        <v>27</v>
      </c>
      <c r="I74" s="47">
        <f>20000*10</f>
        <v>200000</v>
      </c>
      <c r="J74" s="48"/>
    </row>
    <row r="75" spans="1:10" s="11" customFormat="1">
      <c r="A75" s="110"/>
      <c r="B75" s="111"/>
      <c r="C75" s="112"/>
      <c r="D75" s="112"/>
      <c r="E75" s="112"/>
      <c r="F75" s="113"/>
      <c r="G75" s="45" t="s">
        <v>175</v>
      </c>
      <c r="H75" s="46" t="s">
        <v>27</v>
      </c>
      <c r="I75" s="47">
        <f>2000*4</f>
        <v>8000</v>
      </c>
      <c r="J75" s="48"/>
    </row>
    <row r="76" spans="1:10" s="11" customFormat="1">
      <c r="A76" s="110"/>
      <c r="B76" s="111"/>
      <c r="C76" s="112"/>
      <c r="D76" s="112"/>
      <c r="E76" s="112"/>
      <c r="F76" s="113"/>
      <c r="G76" s="45" t="s">
        <v>240</v>
      </c>
      <c r="H76" s="46" t="s">
        <v>27</v>
      </c>
      <c r="I76" s="47">
        <f>7000*12</f>
        <v>84000</v>
      </c>
      <c r="J76" s="48"/>
    </row>
    <row r="77" spans="1:10" s="11" customFormat="1">
      <c r="A77" s="110"/>
      <c r="B77" s="111"/>
      <c r="C77" s="112"/>
      <c r="D77" s="112"/>
      <c r="E77" s="112"/>
      <c r="F77" s="113"/>
      <c r="G77" s="45" t="s">
        <v>242</v>
      </c>
      <c r="H77" s="46" t="s">
        <v>27</v>
      </c>
      <c r="I77" s="47">
        <f>10000*5</f>
        <v>50000</v>
      </c>
      <c r="J77" s="48"/>
    </row>
    <row r="78" spans="1:10" s="11" customFormat="1">
      <c r="A78" s="110"/>
      <c r="B78" s="111"/>
      <c r="C78" s="112"/>
      <c r="D78" s="112"/>
      <c r="E78" s="112"/>
      <c r="F78" s="113"/>
      <c r="G78" s="45" t="s">
        <v>192</v>
      </c>
      <c r="H78" s="46" t="s">
        <v>27</v>
      </c>
      <c r="I78" s="47">
        <f>12000*1</f>
        <v>12000</v>
      </c>
      <c r="J78" s="48"/>
    </row>
    <row r="79" spans="1:10" s="11" customFormat="1">
      <c r="A79" s="110"/>
      <c r="B79" s="111"/>
      <c r="C79" s="112"/>
      <c r="D79" s="112"/>
      <c r="E79" s="112"/>
      <c r="F79" s="113"/>
      <c r="G79" s="45" t="s">
        <v>205</v>
      </c>
      <c r="H79" s="46" t="s">
        <v>27</v>
      </c>
      <c r="I79" s="47">
        <f>3000*12</f>
        <v>36000</v>
      </c>
      <c r="J79" s="48"/>
    </row>
    <row r="80" spans="1:10" s="11" customFormat="1">
      <c r="A80" s="110"/>
      <c r="B80" s="111"/>
      <c r="C80" s="112"/>
      <c r="D80" s="112"/>
      <c r="E80" s="112"/>
      <c r="F80" s="113"/>
      <c r="G80" s="45" t="s">
        <v>186</v>
      </c>
      <c r="H80" s="46" t="s">
        <v>27</v>
      </c>
      <c r="I80" s="47">
        <f>3200*12</f>
        <v>38400</v>
      </c>
      <c r="J80" s="48"/>
    </row>
    <row r="81" spans="1:10" s="11" customFormat="1">
      <c r="A81" s="110"/>
      <c r="B81" s="111"/>
      <c r="C81" s="112"/>
      <c r="D81" s="112"/>
      <c r="E81" s="112"/>
      <c r="F81" s="113"/>
      <c r="G81" s="45" t="s">
        <v>241</v>
      </c>
      <c r="H81" s="46" t="s">
        <v>27</v>
      </c>
      <c r="I81" s="47">
        <f>10000*15</f>
        <v>150000</v>
      </c>
      <c r="J81" s="48"/>
    </row>
    <row r="82" spans="1:10">
      <c r="A82" s="18"/>
      <c r="B82" s="13"/>
      <c r="C82" s="6"/>
      <c r="D82" s="6"/>
      <c r="E82" s="6"/>
      <c r="F82" s="80"/>
      <c r="G82" s="98" t="s">
        <v>113</v>
      </c>
      <c r="H82" s="107"/>
      <c r="I82" s="100">
        <f>SUM(I83:I84)</f>
        <v>57720</v>
      </c>
      <c r="J82" s="40"/>
    </row>
    <row r="83" spans="1:10">
      <c r="A83" s="18"/>
      <c r="B83" s="13"/>
      <c r="C83" s="6"/>
      <c r="D83" s="6"/>
      <c r="E83" s="6"/>
      <c r="F83" s="80"/>
      <c r="G83" s="45" t="s">
        <v>327</v>
      </c>
      <c r="H83" s="46" t="s">
        <v>323</v>
      </c>
      <c r="I83" s="47">
        <f>120*1*181</f>
        <v>21720</v>
      </c>
      <c r="J83" s="41"/>
    </row>
    <row r="84" spans="1:10" s="11" customFormat="1">
      <c r="A84" s="110"/>
      <c r="B84" s="111"/>
      <c r="C84" s="112"/>
      <c r="D84" s="112"/>
      <c r="E84" s="112"/>
      <c r="F84" s="113"/>
      <c r="G84" s="45" t="s">
        <v>322</v>
      </c>
      <c r="H84" s="46" t="s">
        <v>27</v>
      </c>
      <c r="I84" s="47">
        <f>1000*3*12</f>
        <v>36000</v>
      </c>
      <c r="J84" s="48"/>
    </row>
    <row r="85" spans="1:10" s="11" customFormat="1">
      <c r="A85" s="110"/>
      <c r="B85" s="111"/>
      <c r="C85" s="112"/>
      <c r="D85" s="112"/>
      <c r="E85" s="112"/>
      <c r="F85" s="113"/>
      <c r="G85" s="98" t="s">
        <v>278</v>
      </c>
      <c r="H85" s="107"/>
      <c r="I85" s="100">
        <f>SUM(I86:I86)</f>
        <v>61668</v>
      </c>
      <c r="J85" s="53"/>
    </row>
    <row r="86" spans="1:10" s="11" customFormat="1">
      <c r="A86" s="110"/>
      <c r="B86" s="111"/>
      <c r="C86" s="112"/>
      <c r="D86" s="112"/>
      <c r="E86" s="112"/>
      <c r="F86" s="113"/>
      <c r="G86" s="45" t="s">
        <v>157</v>
      </c>
      <c r="H86" s="46" t="s">
        <v>27</v>
      </c>
      <c r="I86" s="47">
        <f>61668</f>
        <v>61668</v>
      </c>
      <c r="J86" s="48"/>
    </row>
    <row r="87" spans="1:10" s="11" customFormat="1" ht="16.5" customHeight="1">
      <c r="A87" s="133"/>
      <c r="B87" s="418" t="s">
        <v>44</v>
      </c>
      <c r="C87" s="117">
        <v>2806199</v>
      </c>
      <c r="D87" s="117"/>
      <c r="E87" s="117">
        <f>SUM(I87,I93,I95,I97,I102,I108,I110,I117,I121,I123,I125,I130,I132)</f>
        <v>1025580</v>
      </c>
      <c r="F87" s="118">
        <f>E87-C87</f>
        <v>-1780619</v>
      </c>
      <c r="G87" s="98" t="s">
        <v>30</v>
      </c>
      <c r="H87" s="107"/>
      <c r="I87" s="100">
        <f>SUM(I88:I92)</f>
        <v>400000</v>
      </c>
      <c r="J87" s="123"/>
    </row>
    <row r="88" spans="1:10" s="8" customFormat="1">
      <c r="A88" s="134"/>
      <c r="B88" s="419"/>
      <c r="C88" s="238"/>
      <c r="D88" s="238"/>
      <c r="E88" s="238"/>
      <c r="F88" s="238"/>
      <c r="G88" s="45" t="s">
        <v>243</v>
      </c>
      <c r="H88" s="46" t="s">
        <v>34</v>
      </c>
      <c r="I88" s="47">
        <f>10000*35</f>
        <v>350000</v>
      </c>
      <c r="J88" s="48"/>
    </row>
    <row r="89" spans="1:10" s="8" customFormat="1">
      <c r="A89" s="134"/>
      <c r="B89" s="295"/>
      <c r="C89" s="238"/>
      <c r="D89" s="238"/>
      <c r="E89" s="238"/>
      <c r="F89" s="238"/>
      <c r="G89" s="45" t="s">
        <v>172</v>
      </c>
      <c r="H89" s="46" t="s">
        <v>27</v>
      </c>
      <c r="I89" s="47">
        <f>2000*5</f>
        <v>10000</v>
      </c>
      <c r="J89" s="48"/>
    </row>
    <row r="90" spans="1:10" s="8" customFormat="1">
      <c r="A90" s="134"/>
      <c r="B90" s="295"/>
      <c r="C90" s="238"/>
      <c r="D90" s="238"/>
      <c r="E90" s="238"/>
      <c r="F90" s="238"/>
      <c r="G90" s="45" t="s">
        <v>173</v>
      </c>
      <c r="H90" s="46" t="s">
        <v>27</v>
      </c>
      <c r="I90" s="47">
        <f>5000*2</f>
        <v>10000</v>
      </c>
      <c r="J90" s="48"/>
    </row>
    <row r="91" spans="1:10" s="8" customFormat="1">
      <c r="A91" s="134"/>
      <c r="B91" s="295"/>
      <c r="C91" s="238"/>
      <c r="D91" s="238"/>
      <c r="E91" s="238"/>
      <c r="F91" s="238"/>
      <c r="G91" s="45" t="s">
        <v>185</v>
      </c>
      <c r="H91" s="46" t="s">
        <v>27</v>
      </c>
      <c r="I91" s="47">
        <v>24000</v>
      </c>
      <c r="J91" s="41"/>
    </row>
    <row r="92" spans="1:10" s="11" customFormat="1">
      <c r="A92" s="134"/>
      <c r="B92" s="135"/>
      <c r="C92" s="112"/>
      <c r="D92" s="112"/>
      <c r="E92" s="112"/>
      <c r="F92" s="113"/>
      <c r="G92" s="45" t="s">
        <v>167</v>
      </c>
      <c r="H92" s="46" t="s">
        <v>27</v>
      </c>
      <c r="I92" s="47">
        <f>150*40</f>
        <v>6000</v>
      </c>
      <c r="J92" s="48"/>
    </row>
    <row r="93" spans="1:10">
      <c r="A93" s="18"/>
      <c r="B93" s="13"/>
      <c r="C93" s="6"/>
      <c r="D93" s="6"/>
      <c r="E93" s="6"/>
      <c r="F93" s="80"/>
      <c r="G93" s="98" t="s">
        <v>118</v>
      </c>
      <c r="H93" s="107"/>
      <c r="I93" s="100">
        <f>SUM(I94:I94)</f>
        <v>9000</v>
      </c>
      <c r="J93" s="44"/>
    </row>
    <row r="94" spans="1:10" s="11" customFormat="1">
      <c r="A94" s="110"/>
      <c r="B94" s="111"/>
      <c r="C94" s="112"/>
      <c r="D94" s="112"/>
      <c r="E94" s="112"/>
      <c r="F94" s="113"/>
      <c r="G94" s="45" t="s">
        <v>187</v>
      </c>
      <c r="H94" s="46" t="s">
        <v>27</v>
      </c>
      <c r="I94" s="47">
        <f>600*15</f>
        <v>9000</v>
      </c>
      <c r="J94" s="48"/>
    </row>
    <row r="95" spans="1:10" s="11" customFormat="1">
      <c r="A95" s="110"/>
      <c r="B95" s="111"/>
      <c r="C95" s="112"/>
      <c r="D95" s="112"/>
      <c r="E95" s="112"/>
      <c r="F95" s="113"/>
      <c r="G95" s="98" t="s">
        <v>119</v>
      </c>
      <c r="H95" s="107"/>
      <c r="I95" s="100">
        <f>SUM(I96:I96)</f>
        <v>0</v>
      </c>
      <c r="J95" s="123"/>
    </row>
    <row r="96" spans="1:10" s="11" customFormat="1">
      <c r="A96" s="110"/>
      <c r="B96" s="111"/>
      <c r="C96" s="112"/>
      <c r="D96" s="112"/>
      <c r="E96" s="112"/>
      <c r="F96" s="113"/>
      <c r="G96" s="49"/>
      <c r="H96" s="50" t="s">
        <v>27</v>
      </c>
      <c r="I96" s="51"/>
      <c r="J96" s="52"/>
    </row>
    <row r="97" spans="1:10" s="11" customFormat="1">
      <c r="A97" s="110"/>
      <c r="B97" s="111"/>
      <c r="C97" s="112"/>
      <c r="D97" s="112"/>
      <c r="E97" s="112"/>
      <c r="F97" s="113"/>
      <c r="G97" s="98" t="s">
        <v>120</v>
      </c>
      <c r="H97" s="107"/>
      <c r="I97" s="100">
        <f>SUM(I98:I101)</f>
        <v>71200</v>
      </c>
      <c r="J97" s="53"/>
    </row>
    <row r="98" spans="1:10">
      <c r="A98" s="18"/>
      <c r="B98" s="13"/>
      <c r="C98" s="6"/>
      <c r="D98" s="6"/>
      <c r="E98" s="6"/>
      <c r="F98" s="80"/>
      <c r="G98" s="309" t="s">
        <v>180</v>
      </c>
      <c r="H98" s="327" t="s">
        <v>27</v>
      </c>
      <c r="I98" s="310">
        <f>100*45*2</f>
        <v>9000</v>
      </c>
      <c r="J98" s="48"/>
    </row>
    <row r="99" spans="1:10" s="11" customFormat="1">
      <c r="A99" s="110"/>
      <c r="B99" s="111"/>
      <c r="C99" s="112"/>
      <c r="D99" s="112"/>
      <c r="E99" s="112"/>
      <c r="F99" s="113"/>
      <c r="G99" s="309" t="s">
        <v>179</v>
      </c>
      <c r="H99" s="327" t="s">
        <v>27</v>
      </c>
      <c r="I99" s="310">
        <f>10*45*6</f>
        <v>2700</v>
      </c>
      <c r="J99" s="48"/>
    </row>
    <row r="100" spans="1:10" s="11" customFormat="1">
      <c r="A100" s="110"/>
      <c r="B100" s="111"/>
      <c r="C100" s="112"/>
      <c r="D100" s="112"/>
      <c r="E100" s="112"/>
      <c r="F100" s="113"/>
      <c r="G100" s="309" t="s">
        <v>178</v>
      </c>
      <c r="H100" s="327" t="s">
        <v>27</v>
      </c>
      <c r="I100" s="310">
        <f>1300*45</f>
        <v>58500</v>
      </c>
      <c r="J100" s="48"/>
    </row>
    <row r="101" spans="1:10" s="11" customFormat="1">
      <c r="A101" s="110"/>
      <c r="B101" s="111"/>
      <c r="C101" s="112"/>
      <c r="D101" s="112"/>
      <c r="E101" s="112"/>
      <c r="F101" s="113"/>
      <c r="G101" s="330" t="s">
        <v>181</v>
      </c>
      <c r="H101" s="338" t="s">
        <v>27</v>
      </c>
      <c r="I101" s="339">
        <f>1000*1</f>
        <v>1000</v>
      </c>
      <c r="J101" s="52"/>
    </row>
    <row r="102" spans="1:10">
      <c r="A102" s="18"/>
      <c r="B102" s="13"/>
      <c r="C102" s="6"/>
      <c r="D102" s="6"/>
      <c r="E102" s="6"/>
      <c r="F102" s="80"/>
      <c r="G102" s="333" t="s">
        <v>121</v>
      </c>
      <c r="H102" s="340"/>
      <c r="I102" s="335">
        <f>SUM(I103:I107)</f>
        <v>48900</v>
      </c>
      <c r="J102" s="53"/>
    </row>
    <row r="103" spans="1:10">
      <c r="A103" s="18"/>
      <c r="B103" s="13"/>
      <c r="C103" s="6"/>
      <c r="D103" s="6"/>
      <c r="E103" s="6"/>
      <c r="F103" s="80"/>
      <c r="G103" s="45" t="s">
        <v>180</v>
      </c>
      <c r="H103" s="46" t="s">
        <v>27</v>
      </c>
      <c r="I103" s="47">
        <f>100*45*2</f>
        <v>9000</v>
      </c>
      <c r="J103" s="48"/>
    </row>
    <row r="104" spans="1:10">
      <c r="A104" s="18"/>
      <c r="B104" s="13"/>
      <c r="C104" s="6"/>
      <c r="D104" s="6"/>
      <c r="E104" s="6"/>
      <c r="F104" s="80"/>
      <c r="G104" s="45" t="s">
        <v>183</v>
      </c>
      <c r="H104" s="46" t="s">
        <v>27</v>
      </c>
      <c r="I104" s="47">
        <f>10*45*6</f>
        <v>2700</v>
      </c>
      <c r="J104" s="48"/>
    </row>
    <row r="105" spans="1:10" ht="17.25" customHeight="1">
      <c r="A105" s="18"/>
      <c r="B105" s="13"/>
      <c r="C105" s="6"/>
      <c r="D105" s="6"/>
      <c r="E105" s="6"/>
      <c r="F105" s="80"/>
      <c r="G105" s="45" t="s">
        <v>182</v>
      </c>
      <c r="H105" s="46" t="s">
        <v>27</v>
      </c>
      <c r="I105" s="47">
        <f>400*90</f>
        <v>36000</v>
      </c>
      <c r="J105" s="48"/>
    </row>
    <row r="106" spans="1:10" ht="17.25" customHeight="1">
      <c r="A106" s="18"/>
      <c r="B106" s="13"/>
      <c r="C106" s="6"/>
      <c r="D106" s="6"/>
      <c r="E106" s="6"/>
      <c r="F106" s="80"/>
      <c r="G106" s="45" t="s">
        <v>181</v>
      </c>
      <c r="H106" s="46" t="s">
        <v>27</v>
      </c>
      <c r="I106" s="47">
        <f>1000*1</f>
        <v>1000</v>
      </c>
      <c r="J106" s="48"/>
    </row>
    <row r="107" spans="1:10">
      <c r="A107" s="18"/>
      <c r="B107" s="13"/>
      <c r="C107" s="6"/>
      <c r="D107" s="6"/>
      <c r="E107" s="6"/>
      <c r="F107" s="80"/>
      <c r="G107" s="45" t="s">
        <v>130</v>
      </c>
      <c r="H107" s="46" t="s">
        <v>27</v>
      </c>
      <c r="I107" s="47">
        <v>200</v>
      </c>
      <c r="J107" s="48"/>
    </row>
    <row r="108" spans="1:10" ht="16.5" customHeight="1">
      <c r="A108" s="18"/>
      <c r="B108" s="13"/>
      <c r="C108" s="6"/>
      <c r="D108" s="6"/>
      <c r="E108" s="6"/>
      <c r="F108" s="80"/>
      <c r="G108" s="98" t="s">
        <v>122</v>
      </c>
      <c r="H108" s="107"/>
      <c r="I108" s="100">
        <f>SUM(I109:I109)</f>
        <v>30000</v>
      </c>
      <c r="J108" s="40"/>
    </row>
    <row r="109" spans="1:10" s="11" customFormat="1" ht="16.5" customHeight="1">
      <c r="A109" s="110"/>
      <c r="B109" s="111"/>
      <c r="C109" s="112"/>
      <c r="D109" s="112"/>
      <c r="E109" s="112"/>
      <c r="F109" s="113"/>
      <c r="G109" s="45" t="s">
        <v>306</v>
      </c>
      <c r="H109" s="46" t="s">
        <v>27</v>
      </c>
      <c r="I109" s="47">
        <f>600*25*2</f>
        <v>30000</v>
      </c>
      <c r="J109" s="48"/>
    </row>
    <row r="110" spans="1:10">
      <c r="A110" s="18"/>
      <c r="B110" s="13"/>
      <c r="C110" s="6"/>
      <c r="D110" s="6"/>
      <c r="E110" s="6"/>
      <c r="F110" s="80"/>
      <c r="G110" s="98" t="s">
        <v>123</v>
      </c>
      <c r="H110" s="107"/>
      <c r="I110" s="100">
        <f>SUM(I111:I116)</f>
        <v>51000</v>
      </c>
      <c r="J110" s="40"/>
    </row>
    <row r="111" spans="1:10" s="11" customFormat="1">
      <c r="A111" s="110"/>
      <c r="B111" s="111"/>
      <c r="C111" s="112"/>
      <c r="D111" s="112"/>
      <c r="E111" s="112"/>
      <c r="F111" s="113"/>
      <c r="G111" s="45" t="s">
        <v>131</v>
      </c>
      <c r="H111" s="46" t="s">
        <v>27</v>
      </c>
      <c r="I111" s="47">
        <f>200*40*2</f>
        <v>16000</v>
      </c>
      <c r="J111" s="48"/>
    </row>
    <row r="112" spans="1:10">
      <c r="A112" s="18"/>
      <c r="B112" s="13"/>
      <c r="C112" s="6"/>
      <c r="D112" s="6"/>
      <c r="E112" s="6"/>
      <c r="F112" s="80"/>
      <c r="G112" s="45" t="s">
        <v>132</v>
      </c>
      <c r="H112" s="46" t="s">
        <v>27</v>
      </c>
      <c r="I112" s="47">
        <v>3000</v>
      </c>
      <c r="J112" s="41"/>
    </row>
    <row r="113" spans="1:10">
      <c r="A113" s="18"/>
      <c r="B113" s="13"/>
      <c r="C113" s="6"/>
      <c r="D113" s="6"/>
      <c r="E113" s="6"/>
      <c r="F113" s="80"/>
      <c r="G113" s="45" t="s">
        <v>184</v>
      </c>
      <c r="H113" s="46" t="s">
        <v>27</v>
      </c>
      <c r="I113" s="47">
        <f>4000*1</f>
        <v>4000</v>
      </c>
      <c r="J113" s="41"/>
    </row>
    <row r="114" spans="1:10">
      <c r="A114" s="18"/>
      <c r="B114" s="13"/>
      <c r="C114" s="6"/>
      <c r="D114" s="6"/>
      <c r="E114" s="6"/>
      <c r="F114" s="80"/>
      <c r="G114" s="45" t="s">
        <v>137</v>
      </c>
      <c r="H114" s="46" t="s">
        <v>27</v>
      </c>
      <c r="I114" s="47">
        <v>16000</v>
      </c>
      <c r="J114" s="41"/>
    </row>
    <row r="115" spans="1:10" s="11" customFormat="1">
      <c r="A115" s="110"/>
      <c r="B115" s="111"/>
      <c r="C115" s="112"/>
      <c r="D115" s="112"/>
      <c r="E115" s="112"/>
      <c r="F115" s="113"/>
      <c r="G115" s="45" t="s">
        <v>315</v>
      </c>
      <c r="H115" s="46" t="s">
        <v>27</v>
      </c>
      <c r="I115" s="47">
        <f>200*55</f>
        <v>11000</v>
      </c>
      <c r="J115" s="48"/>
    </row>
    <row r="116" spans="1:10" s="11" customFormat="1">
      <c r="A116" s="110"/>
      <c r="B116" s="111"/>
      <c r="C116" s="112"/>
      <c r="D116" s="112"/>
      <c r="E116" s="112"/>
      <c r="F116" s="113"/>
      <c r="G116" s="45" t="s">
        <v>135</v>
      </c>
      <c r="H116" s="46" t="s">
        <v>27</v>
      </c>
      <c r="I116" s="47">
        <v>1000</v>
      </c>
      <c r="J116" s="48"/>
    </row>
    <row r="117" spans="1:10" s="11" customFormat="1">
      <c r="A117" s="110"/>
      <c r="B117" s="111"/>
      <c r="C117" s="112"/>
      <c r="D117" s="112"/>
      <c r="E117" s="112"/>
      <c r="F117" s="113"/>
      <c r="G117" s="98" t="s">
        <v>124</v>
      </c>
      <c r="H117" s="107"/>
      <c r="I117" s="100">
        <f>SUM(I118:I120)</f>
        <v>14500</v>
      </c>
      <c r="J117" s="53"/>
    </row>
    <row r="118" spans="1:10" s="11" customFormat="1">
      <c r="A118" s="110"/>
      <c r="B118" s="111"/>
      <c r="C118" s="112"/>
      <c r="D118" s="112"/>
      <c r="E118" s="112"/>
      <c r="F118" s="113"/>
      <c r="G118" s="45" t="s">
        <v>307</v>
      </c>
      <c r="H118" s="46" t="s">
        <v>27</v>
      </c>
      <c r="I118" s="47">
        <f>200*25*2</f>
        <v>10000</v>
      </c>
      <c r="J118" s="48"/>
    </row>
    <row r="119" spans="1:10" s="11" customFormat="1">
      <c r="A119" s="110"/>
      <c r="B119" s="111"/>
      <c r="C119" s="112"/>
      <c r="D119" s="112"/>
      <c r="E119" s="112"/>
      <c r="F119" s="113"/>
      <c r="G119" s="45" t="s">
        <v>206</v>
      </c>
      <c r="H119" s="46" t="s">
        <v>27</v>
      </c>
      <c r="I119" s="47">
        <f>200*20</f>
        <v>4000</v>
      </c>
      <c r="J119" s="48"/>
    </row>
    <row r="120" spans="1:10" s="11" customFormat="1">
      <c r="A120" s="110"/>
      <c r="B120" s="111"/>
      <c r="C120" s="112"/>
      <c r="D120" s="112"/>
      <c r="E120" s="112"/>
      <c r="F120" s="113"/>
      <c r="G120" s="45" t="s">
        <v>133</v>
      </c>
      <c r="H120" s="46" t="s">
        <v>27</v>
      </c>
      <c r="I120" s="47">
        <v>500</v>
      </c>
      <c r="J120" s="48"/>
    </row>
    <row r="121" spans="1:10" ht="16.5" customHeight="1">
      <c r="A121" s="18" t="s">
        <v>31</v>
      </c>
      <c r="B121" s="13"/>
      <c r="C121" s="6"/>
      <c r="D121" s="6"/>
      <c r="E121" s="6"/>
      <c r="F121" s="80"/>
      <c r="G121" s="98" t="s">
        <v>95</v>
      </c>
      <c r="H121" s="107"/>
      <c r="I121" s="100">
        <f>SUM(I122:I122)</f>
        <v>4000</v>
      </c>
      <c r="J121" s="44"/>
    </row>
    <row r="122" spans="1:10" s="11" customFormat="1">
      <c r="A122" s="110"/>
      <c r="B122" s="111"/>
      <c r="C122" s="112"/>
      <c r="D122" s="112"/>
      <c r="E122" s="112"/>
      <c r="F122" s="113"/>
      <c r="G122" s="45" t="s">
        <v>134</v>
      </c>
      <c r="H122" s="46" t="s">
        <v>27</v>
      </c>
      <c r="I122" s="47">
        <v>4000</v>
      </c>
      <c r="J122" s="48"/>
    </row>
    <row r="123" spans="1:10">
      <c r="A123" s="18"/>
      <c r="B123" s="13"/>
      <c r="C123" s="6"/>
      <c r="D123" s="6"/>
      <c r="E123" s="6"/>
      <c r="F123" s="80"/>
      <c r="G123" s="98" t="s">
        <v>129</v>
      </c>
      <c r="H123" s="107"/>
      <c r="I123" s="100">
        <f>SUM(I124:I124)</f>
        <v>7500</v>
      </c>
      <c r="J123" s="40"/>
    </row>
    <row r="124" spans="1:10">
      <c r="A124" s="18"/>
      <c r="B124" s="13"/>
      <c r="C124" s="6"/>
      <c r="D124" s="6"/>
      <c r="E124" s="6"/>
      <c r="F124" s="80"/>
      <c r="G124" s="45" t="s">
        <v>316</v>
      </c>
      <c r="H124" s="46" t="s">
        <v>27</v>
      </c>
      <c r="I124" s="47">
        <f>500*15</f>
        <v>7500</v>
      </c>
      <c r="J124" s="41"/>
    </row>
    <row r="125" spans="1:10">
      <c r="A125" s="18"/>
      <c r="B125" s="13"/>
      <c r="C125" s="6"/>
      <c r="D125" s="6"/>
      <c r="E125" s="6"/>
      <c r="F125" s="80"/>
      <c r="G125" s="98" t="s">
        <v>96</v>
      </c>
      <c r="H125" s="107"/>
      <c r="I125" s="100">
        <f>SUM(I126:I129)</f>
        <v>17200</v>
      </c>
      <c r="J125" s="40"/>
    </row>
    <row r="126" spans="1:10">
      <c r="A126" s="18"/>
      <c r="B126" s="13"/>
      <c r="C126" s="6"/>
      <c r="D126" s="6"/>
      <c r="E126" s="6"/>
      <c r="F126" s="80"/>
      <c r="G126" s="45" t="s">
        <v>207</v>
      </c>
      <c r="H126" s="46" t="s">
        <v>27</v>
      </c>
      <c r="I126" s="47">
        <f>300*20</f>
        <v>6000</v>
      </c>
      <c r="J126" s="41"/>
    </row>
    <row r="127" spans="1:10">
      <c r="A127" s="18"/>
      <c r="B127" s="13"/>
      <c r="C127" s="6"/>
      <c r="D127" s="6"/>
      <c r="E127" s="6"/>
      <c r="F127" s="80"/>
      <c r="G127" s="45" t="s">
        <v>308</v>
      </c>
      <c r="H127" s="46" t="s">
        <v>27</v>
      </c>
      <c r="I127" s="47">
        <f>800*3</f>
        <v>2400</v>
      </c>
      <c r="J127" s="41"/>
    </row>
    <row r="128" spans="1:10">
      <c r="A128" s="18"/>
      <c r="B128" s="13"/>
      <c r="C128" s="6"/>
      <c r="D128" s="6"/>
      <c r="E128" s="6"/>
      <c r="F128" s="80"/>
      <c r="G128" s="45" t="s">
        <v>309</v>
      </c>
      <c r="H128" s="46" t="s">
        <v>27</v>
      </c>
      <c r="I128" s="47">
        <f>800*1</f>
        <v>800</v>
      </c>
      <c r="J128" s="41"/>
    </row>
    <row r="129" spans="1:12">
      <c r="A129" s="18"/>
      <c r="B129" s="13"/>
      <c r="C129" s="6"/>
      <c r="D129" s="6"/>
      <c r="E129" s="6"/>
      <c r="F129" s="80"/>
      <c r="G129" s="284" t="s">
        <v>310</v>
      </c>
      <c r="H129" s="285" t="s">
        <v>27</v>
      </c>
      <c r="I129" s="286">
        <f>800*10</f>
        <v>8000</v>
      </c>
      <c r="J129" s="296"/>
    </row>
    <row r="130" spans="1:12">
      <c r="A130" s="18"/>
      <c r="B130" s="13"/>
      <c r="C130" s="6"/>
      <c r="D130" s="6"/>
      <c r="E130" s="6"/>
      <c r="F130" s="80"/>
      <c r="G130" s="98" t="s">
        <v>202</v>
      </c>
      <c r="H130" s="46"/>
      <c r="I130" s="291">
        <f>SUM(I131:I131)</f>
        <v>153600</v>
      </c>
      <c r="J130" s="41"/>
    </row>
    <row r="131" spans="1:12" s="11" customFormat="1">
      <c r="A131" s="110"/>
      <c r="B131" s="111"/>
      <c r="C131" s="112"/>
      <c r="D131" s="112"/>
      <c r="E131" s="112"/>
      <c r="F131" s="113"/>
      <c r="G131" s="309" t="s">
        <v>294</v>
      </c>
      <c r="H131" s="46" t="s">
        <v>27</v>
      </c>
      <c r="I131" s="310">
        <f>1200*2*4*16</f>
        <v>153600</v>
      </c>
      <c r="J131" s="48"/>
    </row>
    <row r="132" spans="1:12">
      <c r="A132" s="18"/>
      <c r="B132" s="13"/>
      <c r="C132" s="6"/>
      <c r="D132" s="6"/>
      <c r="E132" s="6"/>
      <c r="F132" s="80"/>
      <c r="G132" s="98" t="s">
        <v>300</v>
      </c>
      <c r="H132" s="107"/>
      <c r="I132" s="100">
        <f>SUM(I133:I135)</f>
        <v>218680</v>
      </c>
      <c r="J132" s="48"/>
      <c r="L132" s="3"/>
    </row>
    <row r="133" spans="1:12">
      <c r="A133" s="18"/>
      <c r="B133" s="13"/>
      <c r="C133" s="6"/>
      <c r="D133" s="6"/>
      <c r="E133" s="6"/>
      <c r="F133" s="80"/>
      <c r="G133" s="45" t="s">
        <v>302</v>
      </c>
      <c r="H133" s="46" t="s">
        <v>27</v>
      </c>
      <c r="I133" s="47">
        <v>60000</v>
      </c>
      <c r="J133" s="48"/>
      <c r="L133" s="3"/>
    </row>
    <row r="134" spans="1:12" ht="33.75" customHeight="1">
      <c r="A134" s="18"/>
      <c r="B134" s="13"/>
      <c r="C134" s="6"/>
      <c r="D134" s="6"/>
      <c r="E134" s="6"/>
      <c r="F134" s="80"/>
      <c r="G134" s="351" t="s">
        <v>304</v>
      </c>
      <c r="H134" s="46" t="s">
        <v>301</v>
      </c>
      <c r="I134" s="47">
        <f>610*56+610*76+660*76</f>
        <v>130680</v>
      </c>
      <c r="J134" s="48"/>
      <c r="L134" s="3"/>
    </row>
    <row r="135" spans="1:12">
      <c r="A135" s="18"/>
      <c r="B135" s="13"/>
      <c r="C135" s="6"/>
      <c r="D135" s="6"/>
      <c r="E135" s="6"/>
      <c r="F135" s="80"/>
      <c r="G135" s="45" t="s">
        <v>303</v>
      </c>
      <c r="H135" s="46" t="s">
        <v>27</v>
      </c>
      <c r="I135" s="47">
        <v>28000</v>
      </c>
      <c r="J135" s="48"/>
      <c r="L135" s="3"/>
    </row>
    <row r="136" spans="1:12" s="11" customFormat="1">
      <c r="A136" s="115" t="s">
        <v>23</v>
      </c>
      <c r="B136" s="116"/>
      <c r="C136" s="117">
        <v>856811</v>
      </c>
      <c r="D136" s="117"/>
      <c r="E136" s="117">
        <f>I136+I140+I145+I147+I152+I155+I157</f>
        <v>645250</v>
      </c>
      <c r="F136" s="118">
        <f>E136-C136</f>
        <v>-211561</v>
      </c>
      <c r="G136" s="98" t="s">
        <v>32</v>
      </c>
      <c r="H136" s="107"/>
      <c r="I136" s="100">
        <f>SUM(I137:I139)</f>
        <v>46650</v>
      </c>
      <c r="J136" s="53"/>
    </row>
    <row r="137" spans="1:12" s="11" customFormat="1">
      <c r="A137" s="110"/>
      <c r="B137" s="111"/>
      <c r="C137" s="238"/>
      <c r="D137" s="238"/>
      <c r="E137" s="238"/>
      <c r="F137" s="238"/>
      <c r="G137" s="45" t="s">
        <v>188</v>
      </c>
      <c r="H137" s="46" t="s">
        <v>27</v>
      </c>
      <c r="I137" s="47">
        <f>550*53</f>
        <v>29150</v>
      </c>
      <c r="J137" s="48"/>
    </row>
    <row r="138" spans="1:12" s="11" customFormat="1">
      <c r="A138" s="110"/>
      <c r="B138" s="111"/>
      <c r="C138" s="112"/>
      <c r="D138" s="112"/>
      <c r="E138" s="112"/>
      <c r="F138" s="113"/>
      <c r="G138" s="45" t="s">
        <v>159</v>
      </c>
      <c r="H138" s="46" t="s">
        <v>27</v>
      </c>
      <c r="I138" s="47">
        <f>500*5</f>
        <v>2500</v>
      </c>
      <c r="J138" s="48"/>
    </row>
    <row r="139" spans="1:12" s="11" customFormat="1">
      <c r="A139" s="110"/>
      <c r="B139" s="111"/>
      <c r="C139" s="112"/>
      <c r="D139" s="112"/>
      <c r="E139" s="112"/>
      <c r="F139" s="113"/>
      <c r="G139" s="45" t="s">
        <v>244</v>
      </c>
      <c r="H139" s="46" t="s">
        <v>27</v>
      </c>
      <c r="I139" s="47">
        <f>1500*10</f>
        <v>15000</v>
      </c>
      <c r="J139" s="48"/>
    </row>
    <row r="140" spans="1:12" s="11" customFormat="1">
      <c r="A140" s="110"/>
      <c r="B140" s="111"/>
      <c r="C140" s="112"/>
      <c r="D140" s="112"/>
      <c r="E140" s="112"/>
      <c r="F140" s="113"/>
      <c r="G140" s="98" t="s">
        <v>33</v>
      </c>
      <c r="H140" s="107"/>
      <c r="I140" s="100">
        <f>SUM(I141:I144)</f>
        <v>39800</v>
      </c>
      <c r="J140" s="53"/>
    </row>
    <row r="141" spans="1:12" s="11" customFormat="1">
      <c r="A141" s="110"/>
      <c r="B141" s="111"/>
      <c r="C141" s="112"/>
      <c r="D141" s="112"/>
      <c r="E141" s="112"/>
      <c r="F141" s="113"/>
      <c r="G141" s="45" t="s">
        <v>168</v>
      </c>
      <c r="H141" s="46" t="s">
        <v>27</v>
      </c>
      <c r="I141" s="47">
        <f>650*2*6</f>
        <v>7800</v>
      </c>
      <c r="J141" s="48"/>
    </row>
    <row r="142" spans="1:12" s="11" customFormat="1">
      <c r="A142" s="110"/>
      <c r="B142" s="111"/>
      <c r="C142" s="112"/>
      <c r="D142" s="112"/>
      <c r="E142" s="112"/>
      <c r="F142" s="113"/>
      <c r="G142" s="45" t="s">
        <v>193</v>
      </c>
      <c r="H142" s="46" t="s">
        <v>27</v>
      </c>
      <c r="I142" s="47">
        <f>3500*2</f>
        <v>7000</v>
      </c>
      <c r="J142" s="48"/>
    </row>
    <row r="143" spans="1:12" s="11" customFormat="1">
      <c r="A143" s="110"/>
      <c r="B143" s="111"/>
      <c r="C143" s="112"/>
      <c r="D143" s="112"/>
      <c r="E143" s="112"/>
      <c r="F143" s="113"/>
      <c r="G143" s="45" t="s">
        <v>158</v>
      </c>
      <c r="H143" s="46" t="s">
        <v>27</v>
      </c>
      <c r="I143" s="47">
        <f>5000*2</f>
        <v>10000</v>
      </c>
      <c r="J143" s="48"/>
    </row>
    <row r="144" spans="1:12" s="11" customFormat="1">
      <c r="A144" s="110"/>
      <c r="B144" s="111"/>
      <c r="C144" s="112"/>
      <c r="D144" s="112"/>
      <c r="E144" s="112"/>
      <c r="F144" s="113"/>
      <c r="G144" s="49" t="s">
        <v>208</v>
      </c>
      <c r="H144" s="50" t="s">
        <v>27</v>
      </c>
      <c r="I144" s="51">
        <f>5000*3</f>
        <v>15000</v>
      </c>
      <c r="J144" s="52"/>
    </row>
    <row r="145" spans="1:10" s="11" customFormat="1" ht="15.75" customHeight="1">
      <c r="A145" s="110"/>
      <c r="B145" s="111"/>
      <c r="C145" s="112"/>
      <c r="D145" s="112"/>
      <c r="E145" s="112"/>
      <c r="F145" s="113"/>
      <c r="G145" s="98" t="s">
        <v>111</v>
      </c>
      <c r="H145" s="107"/>
      <c r="I145" s="100">
        <f>SUM(I146:I146)</f>
        <v>207000</v>
      </c>
      <c r="J145" s="53"/>
    </row>
    <row r="146" spans="1:10">
      <c r="A146" s="18"/>
      <c r="B146" s="13"/>
      <c r="C146" s="6"/>
      <c r="D146" s="6"/>
      <c r="E146" s="6"/>
      <c r="F146" s="80"/>
      <c r="G146" s="45" t="s">
        <v>251</v>
      </c>
      <c r="H146" s="46" t="s">
        <v>27</v>
      </c>
      <c r="I146" s="47">
        <f>23*180*50</f>
        <v>207000</v>
      </c>
      <c r="J146" s="41"/>
    </row>
    <row r="147" spans="1:10">
      <c r="A147" s="18"/>
      <c r="B147" s="13"/>
      <c r="C147" s="6"/>
      <c r="D147" s="6"/>
      <c r="E147" s="6"/>
      <c r="F147" s="80"/>
      <c r="G147" s="333" t="s">
        <v>100</v>
      </c>
      <c r="H147" s="341"/>
      <c r="I147" s="335">
        <f>SUM(I148:I151)</f>
        <v>271400</v>
      </c>
      <c r="J147" s="40"/>
    </row>
    <row r="148" spans="1:10">
      <c r="A148" s="18"/>
      <c r="B148" s="13"/>
      <c r="C148" s="6"/>
      <c r="D148" s="6"/>
      <c r="E148" s="6"/>
      <c r="F148" s="80"/>
      <c r="G148" s="309" t="s">
        <v>209</v>
      </c>
      <c r="H148" s="327" t="s">
        <v>27</v>
      </c>
      <c r="I148" s="310">
        <f>40000*2</f>
        <v>80000</v>
      </c>
      <c r="J148" s="41"/>
    </row>
    <row r="149" spans="1:10">
      <c r="A149" s="18"/>
      <c r="B149" s="13"/>
      <c r="C149" s="6"/>
      <c r="D149" s="6"/>
      <c r="E149" s="6"/>
      <c r="F149" s="80"/>
      <c r="G149" s="309" t="s">
        <v>211</v>
      </c>
      <c r="H149" s="327" t="s">
        <v>27</v>
      </c>
      <c r="I149" s="310">
        <f>15000*2</f>
        <v>30000</v>
      </c>
      <c r="J149" s="41"/>
    </row>
    <row r="150" spans="1:10">
      <c r="A150" s="18"/>
      <c r="B150" s="13"/>
      <c r="C150" s="6"/>
      <c r="D150" s="6"/>
      <c r="E150" s="6"/>
      <c r="F150" s="80"/>
      <c r="G150" s="309" t="s">
        <v>231</v>
      </c>
      <c r="H150" s="327" t="s">
        <v>27</v>
      </c>
      <c r="I150" s="310">
        <f>7000*3</f>
        <v>21000</v>
      </c>
      <c r="J150" s="41"/>
    </row>
    <row r="151" spans="1:10">
      <c r="A151" s="18"/>
      <c r="B151" s="13"/>
      <c r="C151" s="6"/>
      <c r="D151" s="6"/>
      <c r="E151" s="6"/>
      <c r="F151" s="80"/>
      <c r="G151" s="284" t="s">
        <v>210</v>
      </c>
      <c r="H151" s="285" t="s">
        <v>27</v>
      </c>
      <c r="I151" s="286">
        <f>15600*9</f>
        <v>140400</v>
      </c>
      <c r="J151" s="296"/>
    </row>
    <row r="152" spans="1:10">
      <c r="A152" s="54"/>
      <c r="B152" s="13"/>
      <c r="C152" s="6"/>
      <c r="D152" s="6"/>
      <c r="E152" s="6"/>
      <c r="F152" s="124"/>
      <c r="G152" s="101" t="s">
        <v>195</v>
      </c>
      <c r="H152" s="287"/>
      <c r="I152" s="297">
        <f>SUM(I153:I154)</f>
        <v>50400</v>
      </c>
      <c r="J152" s="298"/>
    </row>
    <row r="153" spans="1:10">
      <c r="A153" s="54"/>
      <c r="B153" s="13"/>
      <c r="C153" s="6"/>
      <c r="D153" s="6"/>
      <c r="E153" s="6"/>
      <c r="F153" s="124"/>
      <c r="G153" s="104" t="s">
        <v>317</v>
      </c>
      <c r="H153" s="46" t="s">
        <v>318</v>
      </c>
      <c r="I153" s="354">
        <f>11700*2</f>
        <v>23400</v>
      </c>
      <c r="J153" s="353"/>
    </row>
    <row r="154" spans="1:10">
      <c r="A154" s="54"/>
      <c r="B154" s="13"/>
      <c r="C154" s="6"/>
      <c r="D154" s="6"/>
      <c r="E154" s="6"/>
      <c r="F154" s="124"/>
      <c r="G154" s="106" t="s">
        <v>214</v>
      </c>
      <c r="H154" s="285" t="s">
        <v>27</v>
      </c>
      <c r="I154" s="288">
        <f>750*1*12*3</f>
        <v>27000</v>
      </c>
      <c r="J154" s="299"/>
    </row>
    <row r="155" spans="1:10" s="11" customFormat="1">
      <c r="A155" s="114"/>
      <c r="B155" s="111"/>
      <c r="C155" s="112"/>
      <c r="D155" s="112"/>
      <c r="E155" s="112"/>
      <c r="F155" s="125"/>
      <c r="G155" s="126" t="s">
        <v>212</v>
      </c>
      <c r="H155" s="289"/>
      <c r="I155" s="312">
        <f>I156</f>
        <v>30000</v>
      </c>
      <c r="J155" s="127"/>
    </row>
    <row r="156" spans="1:10" s="11" customFormat="1">
      <c r="A156" s="114"/>
      <c r="B156" s="111"/>
      <c r="C156" s="112"/>
      <c r="D156" s="112"/>
      <c r="E156" s="112"/>
      <c r="F156" s="125"/>
      <c r="G156" s="311" t="s">
        <v>245</v>
      </c>
      <c r="H156" s="285" t="s">
        <v>27</v>
      </c>
      <c r="I156" s="288">
        <v>30000</v>
      </c>
      <c r="J156" s="48"/>
    </row>
    <row r="157" spans="1:10">
      <c r="A157" s="54"/>
      <c r="B157" s="13"/>
      <c r="C157" s="6"/>
      <c r="D157" s="6"/>
      <c r="E157" s="6"/>
      <c r="F157" s="80"/>
      <c r="G157" s="108" t="s">
        <v>213</v>
      </c>
      <c r="H157" s="109"/>
      <c r="I157" s="132">
        <v>0</v>
      </c>
      <c r="J157" s="40"/>
    </row>
    <row r="158" spans="1:10" s="10" customFormat="1" ht="16.5" customHeight="1">
      <c r="A158" s="88"/>
      <c r="B158" s="420" t="s">
        <v>78</v>
      </c>
      <c r="C158" s="5">
        <v>24000</v>
      </c>
      <c r="D158" s="5"/>
      <c r="E158" s="5">
        <f>SUM(I158)</f>
        <v>45000</v>
      </c>
      <c r="F158" s="118">
        <f>E158-C158</f>
        <v>21000</v>
      </c>
      <c r="G158" s="98" t="s">
        <v>107</v>
      </c>
      <c r="H158" s="107"/>
      <c r="I158" s="100">
        <f>SUM(I159:I160)</f>
        <v>45000</v>
      </c>
      <c r="J158" s="81"/>
    </row>
    <row r="159" spans="1:10" s="10" customFormat="1" ht="16.5" customHeight="1">
      <c r="A159" s="88"/>
      <c r="B159" s="421"/>
      <c r="C159" s="238"/>
      <c r="D159" s="238"/>
      <c r="E159" s="238"/>
      <c r="F159" s="238"/>
      <c r="G159" s="45" t="s">
        <v>191</v>
      </c>
      <c r="H159" s="46" t="s">
        <v>27</v>
      </c>
      <c r="I159" s="47">
        <f>1500*2</f>
        <v>3000</v>
      </c>
      <c r="J159" s="82"/>
    </row>
    <row r="160" spans="1:10" ht="17.25" customHeight="1" thickBot="1">
      <c r="A160" s="54"/>
      <c r="B160" s="422"/>
      <c r="C160" s="6"/>
      <c r="D160" s="6"/>
      <c r="E160" s="6"/>
      <c r="F160" s="80"/>
      <c r="G160" s="45" t="s">
        <v>280</v>
      </c>
      <c r="H160" s="46" t="s">
        <v>27</v>
      </c>
      <c r="I160" s="47">
        <f>350*12*10</f>
        <v>42000</v>
      </c>
      <c r="J160" s="77"/>
    </row>
    <row r="161" spans="1:10" ht="16.5" customHeight="1">
      <c r="A161" s="396" t="s">
        <v>24</v>
      </c>
      <c r="B161" s="397"/>
      <c r="C161" s="202">
        <f>C163</f>
        <v>20000</v>
      </c>
      <c r="D161" s="202">
        <v>0</v>
      </c>
      <c r="E161" s="202">
        <f>E163</f>
        <v>20000</v>
      </c>
      <c r="F161" s="202">
        <f>E161-C161</f>
        <v>0</v>
      </c>
      <c r="G161" s="195"/>
      <c r="H161" s="196" t="s">
        <v>27</v>
      </c>
      <c r="I161" s="197"/>
      <c r="J161" s="198"/>
    </row>
    <row r="162" spans="1:10" ht="16.5" customHeight="1">
      <c r="A162" s="187"/>
      <c r="B162" s="201"/>
      <c r="C162" s="239"/>
      <c r="D162" s="234"/>
      <c r="E162" s="239"/>
      <c r="F162" s="239"/>
      <c r="G162" s="189"/>
      <c r="H162" s="190"/>
      <c r="I162" s="191"/>
      <c r="J162" s="192"/>
    </row>
    <row r="163" spans="1:10" ht="16.5" customHeight="1">
      <c r="A163" s="17"/>
      <c r="B163" s="16" t="s">
        <v>45</v>
      </c>
      <c r="C163" s="294">
        <v>20000</v>
      </c>
      <c r="D163" s="138"/>
      <c r="E163" s="138">
        <f>I163</f>
        <v>20000</v>
      </c>
      <c r="F163" s="118">
        <f>E163-C163</f>
        <v>0</v>
      </c>
      <c r="G163" s="38" t="s">
        <v>94</v>
      </c>
      <c r="H163" s="43"/>
      <c r="I163" s="39">
        <f>SUM(I164)</f>
        <v>20000</v>
      </c>
      <c r="J163" s="40"/>
    </row>
    <row r="164" spans="1:10" ht="16.5" customHeight="1" thickBot="1">
      <c r="A164" s="15"/>
      <c r="B164" s="136"/>
      <c r="C164" s="238"/>
      <c r="D164" s="236"/>
      <c r="E164" s="238"/>
      <c r="F164" s="238"/>
      <c r="G164" s="45" t="s">
        <v>281</v>
      </c>
      <c r="H164" s="46" t="s">
        <v>27</v>
      </c>
      <c r="I164" s="47">
        <f>5000*4</f>
        <v>20000</v>
      </c>
      <c r="J164" s="41"/>
    </row>
    <row r="165" spans="1:10" ht="16.5" customHeight="1">
      <c r="A165" s="396" t="s">
        <v>14</v>
      </c>
      <c r="B165" s="397"/>
      <c r="C165" s="202">
        <f>SUM(C167)</f>
        <v>123414</v>
      </c>
      <c r="D165" s="202">
        <v>0</v>
      </c>
      <c r="E165" s="202">
        <f>SUM(E167)</f>
        <v>3172520</v>
      </c>
      <c r="F165" s="202">
        <f>E165-C165</f>
        <v>3049106</v>
      </c>
      <c r="G165" s="195"/>
      <c r="H165" s="196" t="s">
        <v>27</v>
      </c>
      <c r="I165" s="197"/>
      <c r="J165" s="198"/>
    </row>
    <row r="166" spans="1:10" ht="16.5" customHeight="1">
      <c r="A166" s="187"/>
      <c r="B166" s="201"/>
      <c r="C166" s="239"/>
      <c r="D166" s="236"/>
      <c r="E166" s="239"/>
      <c r="F166" s="239"/>
      <c r="G166" s="189"/>
      <c r="H166" s="190"/>
      <c r="I166" s="191"/>
      <c r="J166" s="192"/>
    </row>
    <row r="167" spans="1:10" ht="16.5" customHeight="1">
      <c r="A167" s="17"/>
      <c r="B167" s="137" t="s">
        <v>46</v>
      </c>
      <c r="C167" s="5">
        <v>123414</v>
      </c>
      <c r="D167" s="5"/>
      <c r="E167" s="5">
        <f>I167</f>
        <v>3172520</v>
      </c>
      <c r="F167" s="79">
        <f>E167-C167</f>
        <v>3049106</v>
      </c>
      <c r="G167" s="38" t="s">
        <v>93</v>
      </c>
      <c r="H167" s="43"/>
      <c r="I167" s="39">
        <f>SUM(I168:I169)</f>
        <v>3172520</v>
      </c>
      <c r="J167" s="40"/>
    </row>
    <row r="168" spans="1:10" ht="16.5" customHeight="1">
      <c r="A168" s="15"/>
      <c r="B168" s="136"/>
      <c r="C168" s="6"/>
      <c r="D168" s="6"/>
      <c r="E168" s="6"/>
      <c r="F168" s="80"/>
      <c r="G168" s="359" t="s">
        <v>330</v>
      </c>
      <c r="H168" s="327" t="s">
        <v>27</v>
      </c>
      <c r="I168" s="358">
        <v>1248285</v>
      </c>
      <c r="J168" s="41"/>
    </row>
    <row r="169" spans="1:10" ht="16.5" customHeight="1" thickBot="1">
      <c r="A169" s="15"/>
      <c r="B169" s="136"/>
      <c r="C169" s="238"/>
      <c r="D169" s="6"/>
      <c r="E169" s="238"/>
      <c r="F169" s="238"/>
      <c r="G169" s="309" t="s">
        <v>305</v>
      </c>
      <c r="H169" s="327" t="s">
        <v>27</v>
      </c>
      <c r="I169" s="310">
        <v>1924235</v>
      </c>
      <c r="J169" s="41"/>
    </row>
    <row r="170" spans="1:10" ht="16.5" customHeight="1">
      <c r="A170" s="414" t="s">
        <v>12</v>
      </c>
      <c r="B170" s="415"/>
      <c r="C170" s="193">
        <f>SUM(C172,C179,C181,C191,C198)</f>
        <v>2312510</v>
      </c>
      <c r="D170" s="193">
        <v>0</v>
      </c>
      <c r="E170" s="193">
        <f>SUM(E172,E179,E181,E191,E198)</f>
        <v>908400</v>
      </c>
      <c r="F170" s="194">
        <f>E170-C170</f>
        <v>-1404110</v>
      </c>
      <c r="G170" s="195"/>
      <c r="H170" s="196" t="s">
        <v>27</v>
      </c>
      <c r="I170" s="197"/>
      <c r="J170" s="198"/>
    </row>
    <row r="171" spans="1:10" ht="16.5" customHeight="1">
      <c r="A171" s="199"/>
      <c r="B171" s="200"/>
      <c r="C171" s="239"/>
      <c r="D171" s="239"/>
      <c r="E171" s="239"/>
      <c r="F171" s="239"/>
      <c r="G171" s="189"/>
      <c r="H171" s="190"/>
      <c r="I171" s="191"/>
      <c r="J171" s="192"/>
    </row>
    <row r="172" spans="1:10" ht="16.5" customHeight="1">
      <c r="A172" s="17"/>
      <c r="B172" s="16" t="s">
        <v>47</v>
      </c>
      <c r="C172" s="5">
        <v>45844</v>
      </c>
      <c r="D172" s="5"/>
      <c r="E172" s="5">
        <f>SUM(I172,I174,I177)</f>
        <v>48000</v>
      </c>
      <c r="F172" s="79">
        <f>E172-C172</f>
        <v>2156</v>
      </c>
      <c r="G172" s="98" t="s">
        <v>127</v>
      </c>
      <c r="H172" s="107"/>
      <c r="I172" s="100">
        <f>SUM(I173:I173)</f>
        <v>37000</v>
      </c>
      <c r="J172" s="40"/>
    </row>
    <row r="173" spans="1:10" ht="16.5" customHeight="1">
      <c r="A173" s="18"/>
      <c r="B173" s="13"/>
      <c r="C173" s="238"/>
      <c r="D173" s="236"/>
      <c r="E173" s="238"/>
      <c r="F173" s="238"/>
      <c r="G173" s="45" t="s">
        <v>288</v>
      </c>
      <c r="H173" s="46" t="s">
        <v>27</v>
      </c>
      <c r="I173" s="47">
        <f>500*2*37</f>
        <v>37000</v>
      </c>
      <c r="J173" s="41"/>
    </row>
    <row r="174" spans="1:10" ht="16.5" customHeight="1">
      <c r="A174" s="18"/>
      <c r="B174" s="13"/>
      <c r="C174" s="6"/>
      <c r="D174" s="6"/>
      <c r="E174" s="6"/>
      <c r="F174" s="80"/>
      <c r="G174" s="98" t="s">
        <v>128</v>
      </c>
      <c r="H174" s="107"/>
      <c r="I174" s="100">
        <f>SUM(I175:I176)</f>
        <v>11000</v>
      </c>
      <c r="J174" s="53"/>
    </row>
    <row r="175" spans="1:10" ht="16.5" customHeight="1">
      <c r="A175" s="18"/>
      <c r="B175" s="13"/>
      <c r="C175" s="6"/>
      <c r="D175" s="6"/>
      <c r="E175" s="6"/>
      <c r="F175" s="80"/>
      <c r="G175" s="45" t="s">
        <v>311</v>
      </c>
      <c r="H175" s="46" t="s">
        <v>312</v>
      </c>
      <c r="I175" s="47">
        <f>100*25*2</f>
        <v>5000</v>
      </c>
      <c r="J175" s="48"/>
    </row>
    <row r="176" spans="1:10" ht="16.5" customHeight="1">
      <c r="A176" s="18"/>
      <c r="B176" s="13"/>
      <c r="C176" s="6"/>
      <c r="D176" s="6"/>
      <c r="E176" s="6"/>
      <c r="F176" s="80"/>
      <c r="G176" s="45" t="s">
        <v>282</v>
      </c>
      <c r="H176" s="46" t="s">
        <v>27</v>
      </c>
      <c r="I176" s="47">
        <f>3000*2</f>
        <v>6000</v>
      </c>
      <c r="J176" s="48"/>
    </row>
    <row r="177" spans="1:10" ht="16.5" customHeight="1">
      <c r="A177" s="18"/>
      <c r="B177" s="13"/>
      <c r="C177" s="6"/>
      <c r="D177" s="6"/>
      <c r="E177" s="6"/>
      <c r="F177" s="80"/>
      <c r="G177" s="98" t="s">
        <v>136</v>
      </c>
      <c r="H177" s="107"/>
      <c r="I177" s="100">
        <f>SUM(I178:I178)</f>
        <v>0</v>
      </c>
      <c r="J177" s="40"/>
    </row>
    <row r="178" spans="1:10" ht="16.5" customHeight="1">
      <c r="A178" s="18"/>
      <c r="B178" s="13"/>
      <c r="C178" s="6"/>
      <c r="D178" s="6"/>
      <c r="E178" s="6"/>
      <c r="F178" s="80"/>
      <c r="G178" s="45"/>
      <c r="H178" s="46"/>
      <c r="I178" s="47"/>
      <c r="J178" s="41"/>
    </row>
    <row r="179" spans="1:10" s="122" customFormat="1" ht="16.5" customHeight="1">
      <c r="A179" s="121"/>
      <c r="B179" s="206" t="s">
        <v>81</v>
      </c>
      <c r="C179" s="231">
        <v>0</v>
      </c>
      <c r="D179" s="231">
        <v>0</v>
      </c>
      <c r="E179" s="231">
        <v>0</v>
      </c>
      <c r="F179" s="79">
        <f>E179-C179</f>
        <v>0</v>
      </c>
      <c r="G179" s="98" t="s">
        <v>35</v>
      </c>
      <c r="H179" s="107"/>
      <c r="I179" s="203">
        <v>0</v>
      </c>
      <c r="J179" s="123"/>
    </row>
    <row r="180" spans="1:10" s="122" customFormat="1" ht="16.5" customHeight="1">
      <c r="A180" s="121"/>
      <c r="B180" s="204"/>
      <c r="C180" s="238"/>
      <c r="D180" s="238"/>
      <c r="E180" s="238"/>
      <c r="F180" s="238"/>
      <c r="G180" s="108"/>
      <c r="H180" s="109"/>
      <c r="I180" s="132"/>
      <c r="J180" s="205"/>
    </row>
    <row r="181" spans="1:10" ht="16.5" customHeight="1">
      <c r="A181" s="19"/>
      <c r="B181" s="16" t="s">
        <v>48</v>
      </c>
      <c r="C181" s="5">
        <v>1217450</v>
      </c>
      <c r="D181" s="5"/>
      <c r="E181" s="5">
        <f>SUM(I181,I183,I187,I185,I189)</f>
        <v>0</v>
      </c>
      <c r="F181" s="79">
        <f>E181-C181</f>
        <v>-1217450</v>
      </c>
      <c r="G181" s="98" t="s">
        <v>112</v>
      </c>
      <c r="H181" s="107"/>
      <c r="I181" s="100">
        <f>SUM(I182)</f>
        <v>0</v>
      </c>
      <c r="J181" s="44"/>
    </row>
    <row r="182" spans="1:10">
      <c r="A182" s="18"/>
      <c r="B182" s="13"/>
      <c r="C182" s="238"/>
      <c r="D182" s="238"/>
      <c r="E182" s="238"/>
      <c r="F182" s="238"/>
      <c r="G182" s="49"/>
      <c r="H182" s="50" t="s">
        <v>27</v>
      </c>
      <c r="I182" s="51"/>
      <c r="J182" s="42"/>
    </row>
    <row r="183" spans="1:10">
      <c r="A183" s="18"/>
      <c r="B183" s="13"/>
      <c r="C183" s="6"/>
      <c r="D183" s="6"/>
      <c r="E183" s="6"/>
      <c r="F183" s="80"/>
      <c r="G183" s="98" t="s">
        <v>138</v>
      </c>
      <c r="H183" s="107"/>
      <c r="I183" s="100">
        <f>SUM(I184:I184)</f>
        <v>0</v>
      </c>
      <c r="J183" s="40"/>
    </row>
    <row r="184" spans="1:10" s="11" customFormat="1">
      <c r="A184" s="110"/>
      <c r="B184" s="111"/>
      <c r="C184" s="112"/>
      <c r="D184" s="112"/>
      <c r="E184" s="112"/>
      <c r="F184" s="113"/>
      <c r="G184" s="45"/>
      <c r="H184" s="46" t="s">
        <v>260</v>
      </c>
      <c r="I184" s="47"/>
      <c r="J184" s="48"/>
    </row>
    <row r="185" spans="1:10">
      <c r="A185" s="18"/>
      <c r="B185" s="13"/>
      <c r="C185" s="6"/>
      <c r="D185" s="6"/>
      <c r="E185" s="6"/>
      <c r="F185" s="124"/>
      <c r="G185" s="293" t="s">
        <v>163</v>
      </c>
      <c r="H185" s="322"/>
      <c r="I185" s="323">
        <f>I186</f>
        <v>0</v>
      </c>
      <c r="J185" s="300"/>
    </row>
    <row r="186" spans="1:10">
      <c r="A186" s="18"/>
      <c r="B186" s="13"/>
      <c r="C186" s="6"/>
      <c r="D186" s="6"/>
      <c r="E186" s="6"/>
      <c r="F186" s="124"/>
      <c r="G186" s="106"/>
      <c r="H186" s="285" t="s">
        <v>260</v>
      </c>
      <c r="I186" s="97"/>
      <c r="J186" s="41"/>
    </row>
    <row r="187" spans="1:10">
      <c r="A187" s="18"/>
      <c r="B187" s="13"/>
      <c r="C187" s="6"/>
      <c r="D187" s="6"/>
      <c r="E187" s="6"/>
      <c r="F187" s="80"/>
      <c r="G187" s="108" t="s">
        <v>162</v>
      </c>
      <c r="H187" s="46"/>
      <c r="I187" s="291">
        <f>SUM(I188:I188)</f>
        <v>0</v>
      </c>
      <c r="J187" s="41"/>
    </row>
    <row r="188" spans="1:10">
      <c r="A188" s="18"/>
      <c r="B188" s="13"/>
      <c r="C188" s="6"/>
      <c r="D188" s="6"/>
      <c r="E188" s="6"/>
      <c r="F188" s="80"/>
      <c r="G188" s="104"/>
      <c r="H188" s="95" t="s">
        <v>27</v>
      </c>
      <c r="I188" s="105">
        <v>0</v>
      </c>
      <c r="J188" s="57"/>
    </row>
    <row r="189" spans="1:10">
      <c r="A189" s="18"/>
      <c r="B189" s="13"/>
      <c r="C189" s="6"/>
      <c r="D189" s="6"/>
      <c r="E189" s="6"/>
      <c r="F189" s="80"/>
      <c r="G189" s="293" t="s">
        <v>215</v>
      </c>
      <c r="H189" s="313"/>
      <c r="I189" s="314">
        <f>SUM(I190)</f>
        <v>0</v>
      </c>
      <c r="J189" s="57"/>
    </row>
    <row r="190" spans="1:10">
      <c r="A190" s="18"/>
      <c r="B190" s="13"/>
      <c r="C190" s="6"/>
      <c r="D190" s="6"/>
      <c r="E190" s="6"/>
      <c r="F190" s="80"/>
      <c r="G190" s="104"/>
      <c r="H190" s="96" t="s">
        <v>27</v>
      </c>
      <c r="I190" s="105">
        <v>0</v>
      </c>
      <c r="J190" s="57"/>
    </row>
    <row r="191" spans="1:10" ht="16.5" customHeight="1">
      <c r="A191" s="19"/>
      <c r="B191" s="416" t="s">
        <v>49</v>
      </c>
      <c r="C191" s="5">
        <v>454400</v>
      </c>
      <c r="D191" s="5"/>
      <c r="E191" s="5">
        <f>SUM(I191,I195)</f>
        <v>415400</v>
      </c>
      <c r="F191" s="79">
        <f>E191-C191</f>
        <v>-39000</v>
      </c>
      <c r="G191" s="98" t="s">
        <v>91</v>
      </c>
      <c r="H191" s="107"/>
      <c r="I191" s="100">
        <f>I192+I193+I194</f>
        <v>223400</v>
      </c>
      <c r="J191" s="53"/>
    </row>
    <row r="192" spans="1:10">
      <c r="A192" s="24"/>
      <c r="B192" s="417"/>
      <c r="C192" s="238"/>
      <c r="D192" s="238"/>
      <c r="E192" s="238"/>
      <c r="F192" s="238"/>
      <c r="G192" s="45" t="s">
        <v>224</v>
      </c>
      <c r="H192" s="46" t="s">
        <v>27</v>
      </c>
      <c r="I192" s="47">
        <v>207280</v>
      </c>
      <c r="J192" s="48"/>
    </row>
    <row r="193" spans="1:12">
      <c r="A193" s="18"/>
      <c r="B193" s="13"/>
      <c r="C193" s="6"/>
      <c r="D193" s="6"/>
      <c r="E193" s="6"/>
      <c r="F193" s="80"/>
      <c r="G193" s="45" t="s">
        <v>226</v>
      </c>
      <c r="H193" s="46" t="s">
        <v>27</v>
      </c>
      <c r="I193" s="47">
        <v>8120</v>
      </c>
      <c r="J193" s="48"/>
      <c r="L193" s="3"/>
    </row>
    <row r="194" spans="1:12">
      <c r="A194" s="18"/>
      <c r="B194" s="13"/>
      <c r="C194" s="6"/>
      <c r="D194" s="6"/>
      <c r="E194" s="6"/>
      <c r="F194" s="80"/>
      <c r="G194" s="45" t="s">
        <v>225</v>
      </c>
      <c r="H194" s="46" t="s">
        <v>27</v>
      </c>
      <c r="I194" s="47">
        <f>800*10</f>
        <v>8000</v>
      </c>
      <c r="J194" s="48"/>
      <c r="L194" s="3"/>
    </row>
    <row r="195" spans="1:12">
      <c r="A195" s="18"/>
      <c r="B195" s="13"/>
      <c r="C195" s="6"/>
      <c r="D195" s="6"/>
      <c r="E195" s="6"/>
      <c r="F195" s="80"/>
      <c r="G195" s="98" t="s">
        <v>291</v>
      </c>
      <c r="H195" s="107"/>
      <c r="I195" s="100">
        <f>SUM(I196:I197)</f>
        <v>192000</v>
      </c>
      <c r="J195" s="40"/>
      <c r="L195" s="3"/>
    </row>
    <row r="196" spans="1:12">
      <c r="A196" s="18"/>
      <c r="B196" s="13"/>
      <c r="C196" s="6"/>
      <c r="D196" s="6"/>
      <c r="E196" s="6"/>
      <c r="F196" s="80"/>
      <c r="G196" s="45" t="s">
        <v>230</v>
      </c>
      <c r="H196" s="46" t="s">
        <v>27</v>
      </c>
      <c r="I196" s="47">
        <v>24000</v>
      </c>
      <c r="J196" s="41"/>
      <c r="L196" s="3"/>
    </row>
    <row r="197" spans="1:12">
      <c r="A197" s="18"/>
      <c r="B197" s="13"/>
      <c r="C197" s="6"/>
      <c r="D197" s="6"/>
      <c r="E197" s="6"/>
      <c r="F197" s="80"/>
      <c r="G197" s="45" t="s">
        <v>293</v>
      </c>
      <c r="H197" s="46" t="s">
        <v>27</v>
      </c>
      <c r="I197" s="47">
        <f>14000*12</f>
        <v>168000</v>
      </c>
      <c r="J197" s="41"/>
      <c r="L197" s="3"/>
    </row>
    <row r="198" spans="1:12" ht="25.5" customHeight="1">
      <c r="A198" s="19"/>
      <c r="B198" s="350" t="s">
        <v>272</v>
      </c>
      <c r="C198" s="5">
        <v>594816</v>
      </c>
      <c r="D198" s="5"/>
      <c r="E198" s="5">
        <f>SUM(I198,I201,I203)</f>
        <v>445000</v>
      </c>
      <c r="F198" s="79">
        <f>E198-C198</f>
        <v>-149816</v>
      </c>
      <c r="G198" s="98" t="s">
        <v>36</v>
      </c>
      <c r="H198" s="283"/>
      <c r="I198" s="100">
        <f>SUM(I199:I200)</f>
        <v>430000</v>
      </c>
      <c r="J198" s="40"/>
    </row>
    <row r="199" spans="1:12" ht="28.5" customHeight="1">
      <c r="A199" s="18"/>
      <c r="B199" s="13"/>
      <c r="C199" s="238"/>
      <c r="D199" s="238"/>
      <c r="E199" s="238"/>
      <c r="F199" s="238"/>
      <c r="G199" s="351" t="s">
        <v>273</v>
      </c>
      <c r="H199" s="46" t="s">
        <v>27</v>
      </c>
      <c r="I199" s="47">
        <f>325*1*5*160</f>
        <v>260000</v>
      </c>
      <c r="J199" s="41"/>
    </row>
    <row r="200" spans="1:12" ht="28.5" customHeight="1">
      <c r="A200" s="18"/>
      <c r="B200" s="13"/>
      <c r="C200" s="6"/>
      <c r="D200" s="6"/>
      <c r="E200" s="6"/>
      <c r="F200" s="80"/>
      <c r="G200" s="349" t="s">
        <v>274</v>
      </c>
      <c r="H200" s="327" t="s">
        <v>27</v>
      </c>
      <c r="I200" s="310">
        <f>425*160*2.5</f>
        <v>170000</v>
      </c>
      <c r="J200" s="41"/>
      <c r="L200" s="305"/>
    </row>
    <row r="201" spans="1:12">
      <c r="A201" s="18"/>
      <c r="B201" s="13"/>
      <c r="C201" s="6"/>
      <c r="D201" s="6"/>
      <c r="E201" s="6"/>
      <c r="F201" s="80"/>
      <c r="G201" s="98" t="s">
        <v>125</v>
      </c>
      <c r="H201" s="107"/>
      <c r="I201" s="100">
        <f>SUM(I202:I202)</f>
        <v>0</v>
      </c>
      <c r="J201" s="40"/>
    </row>
    <row r="202" spans="1:12">
      <c r="A202" s="18"/>
      <c r="B202" s="13"/>
      <c r="C202" s="6"/>
      <c r="D202" s="6"/>
      <c r="E202" s="6"/>
      <c r="F202" s="80"/>
      <c r="G202" s="45"/>
      <c r="H202" s="46" t="s">
        <v>27</v>
      </c>
      <c r="I202" s="47"/>
      <c r="J202" s="41"/>
    </row>
    <row r="203" spans="1:12">
      <c r="A203" s="18"/>
      <c r="B203" s="13"/>
      <c r="C203" s="6"/>
      <c r="D203" s="6"/>
      <c r="E203" s="6"/>
      <c r="F203" s="80"/>
      <c r="G203" s="98" t="s">
        <v>126</v>
      </c>
      <c r="H203" s="107"/>
      <c r="I203" s="100">
        <f>SUM(I204:I204)</f>
        <v>15000</v>
      </c>
      <c r="J203" s="40"/>
    </row>
    <row r="204" spans="1:12" ht="17.25" thickBot="1">
      <c r="A204" s="18"/>
      <c r="B204" s="13"/>
      <c r="C204" s="6"/>
      <c r="D204" s="6"/>
      <c r="E204" s="6"/>
      <c r="F204" s="80"/>
      <c r="G204" s="45" t="s">
        <v>283</v>
      </c>
      <c r="H204" s="46" t="s">
        <v>27</v>
      </c>
      <c r="I204" s="47">
        <f>10*1500</f>
        <v>15000</v>
      </c>
      <c r="J204" s="41"/>
    </row>
    <row r="205" spans="1:12" ht="16.5" customHeight="1">
      <c r="A205" s="414" t="s">
        <v>25</v>
      </c>
      <c r="B205" s="415"/>
      <c r="C205" s="233">
        <v>0</v>
      </c>
      <c r="D205" s="233">
        <v>0</v>
      </c>
      <c r="E205" s="307">
        <f>I205</f>
        <v>0</v>
      </c>
      <c r="F205" s="233">
        <v>0</v>
      </c>
      <c r="G205" s="195"/>
      <c r="H205" s="196" t="s">
        <v>27</v>
      </c>
      <c r="I205" s="348">
        <f>I207+I209+I211+I213</f>
        <v>0</v>
      </c>
      <c r="J205" s="198"/>
    </row>
    <row r="206" spans="1:12" ht="16.5" customHeight="1">
      <c r="A206" s="199"/>
      <c r="B206" s="207"/>
      <c r="C206" s="239"/>
      <c r="D206" s="239"/>
      <c r="E206" s="239"/>
      <c r="F206" s="239"/>
      <c r="G206" s="208"/>
      <c r="H206" s="209"/>
      <c r="I206" s="210"/>
      <c r="J206" s="211"/>
    </row>
    <row r="207" spans="1:12" ht="16.5" customHeight="1">
      <c r="A207" s="15"/>
      <c r="B207" s="218" t="s">
        <v>50</v>
      </c>
      <c r="C207" s="231">
        <v>0</v>
      </c>
      <c r="D207" s="231">
        <v>0</v>
      </c>
      <c r="E207" s="294"/>
      <c r="F207" s="231">
        <v>0</v>
      </c>
      <c r="G207" s="38" t="s">
        <v>37</v>
      </c>
      <c r="H207" s="212"/>
      <c r="I207" s="324"/>
      <c r="J207" s="40"/>
    </row>
    <row r="208" spans="1:12" ht="16.5" customHeight="1">
      <c r="A208" s="15"/>
      <c r="B208" s="214"/>
      <c r="C208" s="238"/>
      <c r="D208" s="238"/>
      <c r="E208" s="238"/>
      <c r="F208" s="238"/>
      <c r="G208" s="215"/>
      <c r="H208" s="216"/>
      <c r="I208" s="325"/>
      <c r="J208" s="42"/>
    </row>
    <row r="209" spans="1:10" ht="16.5" customHeight="1">
      <c r="A209" s="15"/>
      <c r="B209" s="219" t="s">
        <v>51</v>
      </c>
      <c r="C209" s="231">
        <v>0</v>
      </c>
      <c r="D209" s="231">
        <v>0</v>
      </c>
      <c r="E209" s="294">
        <f>I209</f>
        <v>0</v>
      </c>
      <c r="F209" s="231">
        <v>0</v>
      </c>
      <c r="G209" s="38" t="s">
        <v>38</v>
      </c>
      <c r="H209" s="212"/>
      <c r="I209" s="347">
        <f>I210</f>
        <v>0</v>
      </c>
      <c r="J209" s="40"/>
    </row>
    <row r="210" spans="1:10" ht="16.5" customHeight="1">
      <c r="A210" s="15"/>
      <c r="B210" s="220"/>
      <c r="C210" s="238"/>
      <c r="D210" s="238"/>
      <c r="E210" s="238"/>
      <c r="F210" s="238"/>
      <c r="G210" s="215"/>
      <c r="H210" s="216"/>
      <c r="I210" s="325"/>
      <c r="J210" s="42"/>
    </row>
    <row r="211" spans="1:10" ht="16.5" customHeight="1">
      <c r="A211" s="15"/>
      <c r="B211" s="218" t="s">
        <v>52</v>
      </c>
      <c r="C211" s="231">
        <v>0</v>
      </c>
      <c r="D211" s="231">
        <v>0</v>
      </c>
      <c r="E211" s="231">
        <v>0</v>
      </c>
      <c r="F211" s="231">
        <v>0</v>
      </c>
      <c r="G211" s="38" t="s">
        <v>39</v>
      </c>
      <c r="H211" s="212"/>
      <c r="I211" s="213">
        <v>0</v>
      </c>
      <c r="J211" s="40"/>
    </row>
    <row r="212" spans="1:10" ht="16.5" customHeight="1">
      <c r="A212" s="15"/>
      <c r="B212" s="214"/>
      <c r="C212" s="238"/>
      <c r="D212" s="238"/>
      <c r="E212" s="238"/>
      <c r="F212" s="238"/>
      <c r="G212" s="215"/>
      <c r="H212" s="216"/>
      <c r="I212" s="217"/>
      <c r="J212" s="42"/>
    </row>
    <row r="213" spans="1:10" ht="16.5" customHeight="1">
      <c r="A213" s="15"/>
      <c r="B213" s="218" t="s">
        <v>53</v>
      </c>
      <c r="C213" s="231">
        <v>0</v>
      </c>
      <c r="D213" s="231">
        <v>0</v>
      </c>
      <c r="E213" s="231">
        <v>0</v>
      </c>
      <c r="F213" s="231">
        <v>0</v>
      </c>
      <c r="G213" s="38" t="s">
        <v>40</v>
      </c>
      <c r="H213" s="212"/>
      <c r="I213" s="213">
        <v>0</v>
      </c>
      <c r="J213" s="40"/>
    </row>
    <row r="214" spans="1:10" ht="16.5" customHeight="1" thickBot="1">
      <c r="A214" s="229"/>
      <c r="B214" s="241"/>
      <c r="C214" s="242"/>
      <c r="D214" s="242"/>
      <c r="E214" s="242"/>
      <c r="F214" s="242"/>
      <c r="G214" s="243"/>
      <c r="H214" s="244"/>
      <c r="I214" s="245"/>
      <c r="J214" s="91"/>
    </row>
    <row r="215" spans="1:10" ht="16.5" customHeight="1">
      <c r="A215" s="398" t="s">
        <v>26</v>
      </c>
      <c r="B215" s="413"/>
      <c r="C215" s="247">
        <f>SUM(C205,C170,C165,C161,C52,C5)</f>
        <v>16431276</v>
      </c>
      <c r="D215" s="247">
        <v>0</v>
      </c>
      <c r="E215" s="247">
        <f>SUM(E205,E170,E165,E161,E52,E5)</f>
        <v>18274078</v>
      </c>
      <c r="F215" s="247">
        <f>E215-C215</f>
        <v>1842802</v>
      </c>
      <c r="G215" s="225"/>
      <c r="H215" s="226"/>
      <c r="I215" s="223"/>
      <c r="J215" s="221"/>
    </row>
    <row r="216" spans="1:10" ht="17.25" thickBot="1">
      <c r="A216" s="229"/>
      <c r="B216" s="230"/>
      <c r="C216" s="249"/>
      <c r="D216" s="248"/>
      <c r="E216" s="249"/>
      <c r="F216" s="249"/>
      <c r="G216" s="227"/>
      <c r="H216" s="228"/>
      <c r="I216" s="224"/>
      <c r="J216" s="222"/>
    </row>
    <row r="217" spans="1:10">
      <c r="F217" s="7"/>
    </row>
  </sheetData>
  <mergeCells count="17">
    <mergeCell ref="B24:B25"/>
    <mergeCell ref="B48:B49"/>
    <mergeCell ref="A215:B215"/>
    <mergeCell ref="A205:B205"/>
    <mergeCell ref="B191:B192"/>
    <mergeCell ref="A161:B161"/>
    <mergeCell ref="A165:B165"/>
    <mergeCell ref="A170:B170"/>
    <mergeCell ref="A52:B52"/>
    <mergeCell ref="B87:B88"/>
    <mergeCell ref="B158:B160"/>
    <mergeCell ref="A5:B5"/>
    <mergeCell ref="A3:B4"/>
    <mergeCell ref="J3:J4"/>
    <mergeCell ref="A1:J1"/>
    <mergeCell ref="A2:J2"/>
    <mergeCell ref="G3:I4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표지</vt:lpstr>
      <vt:lpstr>총칙</vt:lpstr>
      <vt:lpstr>세입</vt:lpstr>
      <vt:lpstr>세출</vt:lpstr>
      <vt:lpstr>세입!Print_Area</vt:lpstr>
      <vt:lpstr>세출!Print_Area</vt:lpstr>
      <vt:lpstr>세입!Print_Titles</vt:lpstr>
      <vt:lpstr>세출!Print_Titles</vt:lpstr>
    </vt:vector>
  </TitlesOfParts>
  <Company>TaipeiKoreanSchool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student_02</dc:creator>
  <cp:lastModifiedBy>Owner</cp:lastModifiedBy>
  <cp:lastPrinted>2019-11-27T02:15:34Z</cp:lastPrinted>
  <dcterms:created xsi:type="dcterms:W3CDTF">2016-01-18T07:48:47Z</dcterms:created>
  <dcterms:modified xsi:type="dcterms:W3CDTF">2019-12-03T05:46:02Z</dcterms:modified>
</cp:coreProperties>
</file>