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~2019 행정실 자료\2018 2019학교회계 예산 자료\2019학년도 2차 추경예산\"/>
    </mc:Choice>
  </mc:AlternateContent>
  <bookViews>
    <workbookView xWindow="600" yWindow="45" windowWidth="17520" windowHeight="7935"/>
  </bookViews>
  <sheets>
    <sheet name="표지" sheetId="4" r:id="rId1"/>
    <sheet name="총칙" sheetId="5" r:id="rId2"/>
    <sheet name="세입" sheetId="1" r:id="rId3"/>
    <sheet name="세출" sheetId="2" r:id="rId4"/>
  </sheets>
  <definedNames>
    <definedName name="_xlnm.Print_Area" localSheetId="2">세입!$A$1:$J$89</definedName>
    <definedName name="_xlnm.Print_Area" localSheetId="3">세출!$A$1:$J$241</definedName>
    <definedName name="_xlnm.Print_Titles" localSheetId="2">세입!$4:$6</definedName>
    <definedName name="_xlnm.Print_Titles" localSheetId="3">세출!$2:$4</definedName>
  </definedNames>
  <calcPr calcId="152511"/>
</workbook>
</file>

<file path=xl/calcChain.xml><?xml version="1.0" encoding="utf-8"?>
<calcChain xmlns="http://schemas.openxmlformats.org/spreadsheetml/2006/main">
  <c r="I186" i="2" l="1"/>
  <c r="I50" i="1"/>
  <c r="I143" i="2" l="1"/>
  <c r="E215" i="2" l="1"/>
  <c r="I149" i="2"/>
  <c r="I162" i="2" l="1"/>
  <c r="I234" i="2" l="1"/>
  <c r="I230" i="2" s="1"/>
  <c r="E230" i="2" s="1"/>
  <c r="I155" i="2"/>
  <c r="I111" i="2"/>
  <c r="I110" i="2"/>
  <c r="I109" i="2"/>
  <c r="I102" i="2"/>
  <c r="I101" i="2" l="1"/>
  <c r="I100" i="2"/>
  <c r="I88" i="2"/>
  <c r="I83" i="2"/>
  <c r="I77" i="2"/>
  <c r="I81" i="2"/>
  <c r="I76" i="2"/>
  <c r="I74" i="2"/>
  <c r="I70" i="2"/>
  <c r="I41" i="2" l="1"/>
  <c r="I38" i="2"/>
  <c r="I35" i="2"/>
  <c r="I29" i="2"/>
  <c r="I24" i="2"/>
  <c r="I21" i="2"/>
  <c r="I19" i="2"/>
  <c r="I15" i="2"/>
  <c r="I16" i="2" l="1"/>
  <c r="I14" i="2" l="1"/>
  <c r="I13" i="2"/>
  <c r="I12" i="2"/>
  <c r="I11" i="2"/>
  <c r="I8" i="2"/>
  <c r="I9" i="2" l="1"/>
  <c r="I42" i="1" l="1"/>
  <c r="I40" i="1"/>
  <c r="I36" i="1"/>
  <c r="I35" i="1"/>
  <c r="I169" i="2"/>
  <c r="I166" i="2"/>
  <c r="I224" i="2"/>
  <c r="I223" i="2"/>
  <c r="I221" i="2"/>
  <c r="I193" i="2"/>
  <c r="I30" i="1"/>
  <c r="I23" i="1"/>
  <c r="I24" i="1"/>
  <c r="I27" i="1"/>
  <c r="C180" i="2"/>
  <c r="I218" i="2" l="1"/>
  <c r="I215" i="2" s="1"/>
  <c r="I26" i="1" l="1"/>
  <c r="I14" i="1"/>
  <c r="I13" i="1"/>
  <c r="I10" i="1" l="1"/>
  <c r="I11" i="1"/>
  <c r="I43" i="2" l="1"/>
  <c r="I31" i="2"/>
  <c r="I32" i="2"/>
  <c r="I108" i="2"/>
  <c r="I99" i="2"/>
  <c r="I30" i="2" l="1"/>
  <c r="I39" i="2" l="1"/>
  <c r="I79" i="1"/>
  <c r="I219" i="2" l="1"/>
  <c r="I183" i="2"/>
  <c r="I173" i="2"/>
  <c r="I171" i="2"/>
  <c r="I165" i="2"/>
  <c r="I164" i="2"/>
  <c r="I160" i="2"/>
  <c r="I146" i="2"/>
  <c r="I144" i="2"/>
  <c r="I130" i="2"/>
  <c r="I129" i="2"/>
  <c r="I120" i="2"/>
  <c r="I118" i="2"/>
  <c r="I37" i="2"/>
  <c r="I26" i="2" l="1"/>
  <c r="I25" i="2"/>
  <c r="I80" i="2"/>
  <c r="I79" i="2"/>
  <c r="I53" i="2"/>
  <c r="I52" i="2"/>
  <c r="I51" i="2"/>
  <c r="I50" i="2"/>
  <c r="C190" i="2" l="1"/>
  <c r="I213" i="2"/>
  <c r="I211" i="2"/>
  <c r="I209" i="2"/>
  <c r="I192" i="2"/>
  <c r="I174" i="2"/>
  <c r="I147" i="2"/>
  <c r="I59" i="2" l="1"/>
  <c r="I58" i="2"/>
  <c r="I57" i="2"/>
  <c r="I56" i="2" l="1"/>
  <c r="I55" i="2"/>
  <c r="I48" i="2"/>
  <c r="C7" i="1" l="1"/>
  <c r="C56" i="1"/>
  <c r="C67" i="1"/>
  <c r="I61" i="1"/>
  <c r="C75" i="1"/>
  <c r="C37" i="1"/>
  <c r="I65" i="1"/>
  <c r="I52" i="1"/>
  <c r="I48" i="1"/>
  <c r="I46" i="1"/>
  <c r="C87" i="1" l="1"/>
  <c r="I12" i="1"/>
  <c r="E12" i="1" s="1"/>
  <c r="I63" i="1" l="1"/>
  <c r="I41" i="1" l="1"/>
  <c r="E41" i="1" s="1"/>
  <c r="I66" i="2" l="1"/>
  <c r="I67" i="2"/>
  <c r="I179" i="2"/>
  <c r="I69" i="1" l="1"/>
  <c r="I158" i="2" l="1"/>
  <c r="I78" i="2"/>
  <c r="I62" i="2" l="1"/>
  <c r="I163" i="2"/>
  <c r="I178" i="2" l="1"/>
  <c r="I23" i="2" l="1"/>
  <c r="E69" i="1" l="1"/>
  <c r="F69" i="1" s="1"/>
  <c r="I153" i="2" l="1"/>
  <c r="I43" i="1" l="1"/>
  <c r="I86" i="2"/>
  <c r="I85" i="2" s="1"/>
  <c r="I138" i="2"/>
  <c r="I92" i="2"/>
  <c r="I94" i="2"/>
  <c r="I33" i="2" l="1"/>
  <c r="I20" i="2"/>
  <c r="I172" i="2"/>
  <c r="I228" i="2" l="1"/>
  <c r="I145" i="2"/>
  <c r="I141" i="2"/>
  <c r="I198" i="2" l="1"/>
  <c r="I18" i="1" l="1"/>
  <c r="I69" i="2"/>
  <c r="I136" i="2" l="1"/>
  <c r="I135" i="2" s="1"/>
  <c r="I122" i="2"/>
  <c r="I115" i="2"/>
  <c r="I112" i="2"/>
  <c r="I113" i="2"/>
  <c r="I114" i="2"/>
  <c r="I103" i="2"/>
  <c r="I106" i="2"/>
  <c r="I105" i="2"/>
  <c r="I104" i="2"/>
  <c r="I107" i="2" l="1"/>
  <c r="I73" i="2"/>
  <c r="I62" i="1" l="1"/>
  <c r="E62" i="1" s="1"/>
  <c r="I17" i="2"/>
  <c r="I182" i="2" l="1"/>
  <c r="E182" i="2" s="1"/>
  <c r="E180" i="2" s="1"/>
  <c r="I189" i="2"/>
  <c r="E186" i="2" l="1"/>
  <c r="F186" i="2" s="1"/>
  <c r="I222" i="2" l="1"/>
  <c r="I195" i="2" l="1"/>
  <c r="E192" i="2" s="1"/>
  <c r="I142" i="2" l="1"/>
  <c r="I226" i="2" l="1"/>
  <c r="I72" i="2" l="1"/>
  <c r="I90" i="2"/>
  <c r="I89" i="2"/>
  <c r="I87" i="2" l="1"/>
  <c r="I65" i="2"/>
  <c r="I49" i="2"/>
  <c r="I64" i="2"/>
  <c r="I61" i="2"/>
  <c r="I157" i="2"/>
  <c r="I9" i="1" l="1"/>
  <c r="E9" i="1" s="1"/>
  <c r="F9" i="1" s="1"/>
  <c r="I95" i="2"/>
  <c r="I93" i="2" s="1"/>
  <c r="I125" i="2"/>
  <c r="I7" i="2" l="1"/>
  <c r="I98" i="2"/>
  <c r="I36" i="2"/>
  <c r="I124" i="2"/>
  <c r="I119" i="2" s="1"/>
  <c r="I132" i="2"/>
  <c r="I18" i="2" l="1"/>
  <c r="I47" i="2" l="1"/>
  <c r="I46" i="2" s="1"/>
  <c r="I42" i="2" l="1"/>
  <c r="E39" i="2" s="1"/>
  <c r="I128" i="2" l="1"/>
  <c r="C5" i="2"/>
  <c r="F180" i="2"/>
  <c r="C184" i="2"/>
  <c r="E184" i="2"/>
  <c r="C44" i="2"/>
  <c r="F184" i="2" l="1"/>
  <c r="C240" i="2"/>
  <c r="I10" i="2" l="1"/>
  <c r="E7" i="2" s="1"/>
  <c r="I117" i="2"/>
  <c r="I75" i="2"/>
  <c r="I71" i="2"/>
  <c r="I177" i="2"/>
  <c r="I154" i="2" l="1"/>
  <c r="I34" i="2" l="1"/>
  <c r="I28" i="2"/>
  <c r="I27" i="2" s="1"/>
  <c r="I33" i="1"/>
  <c r="E18" i="1" l="1"/>
  <c r="F18" i="1" s="1"/>
  <c r="I207" i="2"/>
  <c r="I152" i="2"/>
  <c r="I159" i="2"/>
  <c r="I156" i="2" s="1"/>
  <c r="E222" i="2"/>
  <c r="I161" i="2" l="1"/>
  <c r="E152" i="2" s="1"/>
  <c r="I205" i="2" l="1"/>
  <c r="E205" i="2" s="1"/>
  <c r="E190" i="2" l="1"/>
  <c r="F203" i="2"/>
  <c r="F192" i="2"/>
  <c r="F205" i="2" l="1"/>
  <c r="F182" i="2"/>
  <c r="E177" i="2"/>
  <c r="F177" i="2" s="1"/>
  <c r="F215" i="2" l="1"/>
  <c r="F152" i="2"/>
  <c r="I96" i="2"/>
  <c r="E87" i="2" s="1"/>
  <c r="I68" i="2"/>
  <c r="I82" i="2"/>
  <c r="I39" i="1"/>
  <c r="E39" i="1" s="1"/>
  <c r="F39" i="1" s="1"/>
  <c r="E46" i="2" l="1"/>
  <c r="F46" i="2" s="1"/>
  <c r="I22" i="2"/>
  <c r="E22" i="2" s="1"/>
  <c r="E5" i="2" s="1"/>
  <c r="F190" i="2"/>
  <c r="F222" i="2"/>
  <c r="E85" i="1"/>
  <c r="F85" i="1" s="1"/>
  <c r="E83" i="1"/>
  <c r="E79" i="1"/>
  <c r="F79" i="1" s="1"/>
  <c r="E77" i="1"/>
  <c r="E73" i="1"/>
  <c r="F73" i="1" s="1"/>
  <c r="E71" i="1"/>
  <c r="F71" i="1" s="1"/>
  <c r="F62" i="1"/>
  <c r="E52" i="1"/>
  <c r="E50" i="1"/>
  <c r="F50" i="1" s="1"/>
  <c r="E48" i="1"/>
  <c r="E46" i="1"/>
  <c r="F46" i="1" s="1"/>
  <c r="E43" i="1"/>
  <c r="F43" i="1" s="1"/>
  <c r="E16" i="1"/>
  <c r="F16" i="1" s="1"/>
  <c r="I60" i="1"/>
  <c r="F5" i="2" l="1"/>
  <c r="F48" i="1"/>
  <c r="E37" i="1"/>
  <c r="F87" i="2"/>
  <c r="E44" i="2"/>
  <c r="E240" i="2" s="1"/>
  <c r="F41" i="1"/>
  <c r="F22" i="2"/>
  <c r="F52" i="1"/>
  <c r="F39" i="2"/>
  <c r="I58" i="1"/>
  <c r="F240" i="2" l="1"/>
  <c r="E58" i="1"/>
  <c r="E56" i="1" s="1"/>
  <c r="F37" i="1"/>
  <c r="F44" i="2"/>
  <c r="F58" i="1" l="1"/>
  <c r="F56" i="1" s="1"/>
  <c r="E7" i="1" l="1"/>
  <c r="F7" i="2"/>
  <c r="F12" i="1" l="1"/>
  <c r="E67" i="1" l="1"/>
  <c r="F77" i="1"/>
  <c r="E75" i="1"/>
  <c r="E87" i="1" s="1"/>
  <c r="F87" i="1" s="1"/>
  <c r="F83" i="1"/>
  <c r="F75" i="1" l="1"/>
  <c r="F7" i="1"/>
</calcChain>
</file>

<file path=xl/sharedStrings.xml><?xml version="1.0" encoding="utf-8"?>
<sst xmlns="http://schemas.openxmlformats.org/spreadsheetml/2006/main" count="559" uniqueCount="357">
  <si>
    <t>□ 세입</t>
  </si>
  <si>
    <t>구  분</t>
  </si>
  <si>
    <t>(Y-1)예산</t>
  </si>
  <si>
    <t>(A)</t>
  </si>
  <si>
    <t>(Y-2)결산</t>
  </si>
  <si>
    <t>(B)</t>
  </si>
  <si>
    <t>(Y)예산</t>
  </si>
  <si>
    <t>(C)</t>
  </si>
  <si>
    <t>증감</t>
  </si>
  <si>
    <t>(C-A)</t>
  </si>
  <si>
    <t>비고</t>
  </si>
  <si>
    <t>학부모부담수입</t>
  </si>
  <si>
    <t>수익자부담경비</t>
  </si>
  <si>
    <t>교육부지원금</t>
  </si>
  <si>
    <t>시설(대수선)비</t>
  </si>
  <si>
    <t>자체수입</t>
  </si>
  <si>
    <t>전입금 및 지원금</t>
  </si>
  <si>
    <t>기타수입</t>
  </si>
  <si>
    <t>합  계</t>
  </si>
  <si>
    <t xml:space="preserve">  </t>
  </si>
  <si>
    <t>□ 세출</t>
  </si>
  <si>
    <t>인건비</t>
  </si>
  <si>
    <t>학교운영비</t>
  </si>
  <si>
    <t>  - 학생복리비</t>
  </si>
  <si>
    <t>자산취득비</t>
  </si>
  <si>
    <t>예비비및기타</t>
  </si>
  <si>
    <t>합 계</t>
  </si>
  <si>
    <t>=</t>
    <phoneticPr fontId="6" type="noConversion"/>
  </si>
  <si>
    <t>비고</t>
    <phoneticPr fontId="6" type="noConversion"/>
  </si>
  <si>
    <t>산출기초(단위: NTD)</t>
    <phoneticPr fontId="6" type="noConversion"/>
  </si>
  <si>
    <t>1. 교과활동지원</t>
    <phoneticPr fontId="6" type="noConversion"/>
  </si>
  <si>
    <t xml:space="preserve">   ·</t>
    <phoneticPr fontId="6" type="noConversion"/>
  </si>
  <si>
    <t>1. 학생보건안전관리</t>
    <phoneticPr fontId="6" type="noConversion"/>
  </si>
  <si>
    <t>2. 학교환경위생관리</t>
    <phoneticPr fontId="6" type="noConversion"/>
  </si>
  <si>
    <t>=</t>
    <phoneticPr fontId="6" type="noConversion"/>
  </si>
  <si>
    <t>1. 수련활동비</t>
    <phoneticPr fontId="6" type="noConversion"/>
  </si>
  <si>
    <t>1. 통학차량 운영</t>
    <phoneticPr fontId="6" type="noConversion"/>
  </si>
  <si>
    <t>1. 예비비</t>
    <phoneticPr fontId="6" type="noConversion"/>
  </si>
  <si>
    <t>1. 다음연도 이월금</t>
    <phoneticPr fontId="6" type="noConversion"/>
  </si>
  <si>
    <t>1. 적립금</t>
    <phoneticPr fontId="6" type="noConversion"/>
  </si>
  <si>
    <t>1. 환차손</t>
    <phoneticPr fontId="6" type="noConversion"/>
  </si>
  <si>
    <t>1. 기본급</t>
    <phoneticPr fontId="6" type="noConversion"/>
  </si>
  <si>
    <t>- 퇴직적립금</t>
    <phoneticPr fontId="6" type="noConversion"/>
  </si>
  <si>
    <t>- 일반운영비</t>
    <phoneticPr fontId="6" type="noConversion"/>
  </si>
  <si>
    <t>- 교수학습
활동비</t>
    <phoneticPr fontId="6" type="noConversion"/>
  </si>
  <si>
    <t>- 자산취득비</t>
    <phoneticPr fontId="6" type="noConversion"/>
  </si>
  <si>
    <t>- 시설비</t>
    <phoneticPr fontId="6" type="noConversion"/>
  </si>
  <si>
    <t>- 현장학습비</t>
    <phoneticPr fontId="6" type="noConversion"/>
  </si>
  <si>
    <t>- 학교급식비</t>
    <phoneticPr fontId="6" type="noConversion"/>
  </si>
  <si>
    <t>- 방과후학교교육활동비</t>
    <phoneticPr fontId="6" type="noConversion"/>
  </si>
  <si>
    <t>- 기타수익자부담경비</t>
    <phoneticPr fontId="6" type="noConversion"/>
  </si>
  <si>
    <t>- 예비비</t>
    <phoneticPr fontId="6" type="noConversion"/>
  </si>
  <si>
    <t>- 다음연도이월금</t>
    <phoneticPr fontId="6" type="noConversion"/>
  </si>
  <si>
    <t>- 적립금</t>
    <phoneticPr fontId="6" type="noConversion"/>
  </si>
  <si>
    <t>- 환차손</t>
    <phoneticPr fontId="6" type="noConversion"/>
  </si>
  <si>
    <t>2. 수당</t>
    <phoneticPr fontId="6" type="noConversion"/>
  </si>
  <si>
    <t>3. 복리후생비</t>
    <phoneticPr fontId="6" type="noConversion"/>
  </si>
  <si>
    <t>1. 입학금</t>
    <phoneticPr fontId="6" type="noConversion"/>
  </si>
  <si>
    <t>- 입학금</t>
    <phoneticPr fontId="6" type="noConversion"/>
  </si>
  <si>
    <t>- 수업료</t>
    <phoneticPr fontId="6" type="noConversion"/>
  </si>
  <si>
    <t>- 학교운영지원비</t>
    <phoneticPr fontId="6" type="noConversion"/>
  </si>
  <si>
    <t>- 수익자부담경비</t>
    <phoneticPr fontId="6" type="noConversion"/>
  </si>
  <si>
    <t>2. 지난년도 수업료</t>
    <phoneticPr fontId="6" type="noConversion"/>
  </si>
  <si>
    <t>1. 수업료</t>
    <phoneticPr fontId="6" type="noConversion"/>
  </si>
  <si>
    <t>- 현재채용교직원인건비</t>
    <phoneticPr fontId="6" type="noConversion"/>
  </si>
  <si>
    <t>- 운영비</t>
    <phoneticPr fontId="6" type="noConversion"/>
  </si>
  <si>
    <t>- 임차료</t>
    <phoneticPr fontId="6" type="noConversion"/>
  </si>
  <si>
    <t>- 저소득층자녀지원</t>
    <phoneticPr fontId="6" type="noConversion"/>
  </si>
  <si>
    <t>- 방과후학교지원</t>
    <phoneticPr fontId="6" type="noConversion"/>
  </si>
  <si>
    <t>- 시설(대수선)비</t>
    <phoneticPr fontId="6" type="noConversion"/>
  </si>
  <si>
    <t>- 학교발전기금전입금</t>
    <phoneticPr fontId="6" type="noConversion"/>
  </si>
  <si>
    <t>- 법인전입금</t>
    <phoneticPr fontId="6" type="noConversion"/>
  </si>
  <si>
    <t>- 기타지원금</t>
    <phoneticPr fontId="6" type="noConversion"/>
  </si>
  <si>
    <t>- 과년도 수입</t>
    <phoneticPr fontId="6" type="noConversion"/>
  </si>
  <si>
    <t>- 이월금</t>
    <phoneticPr fontId="6" type="noConversion"/>
  </si>
  <si>
    <t>- 환차익</t>
    <phoneticPr fontId="6" type="noConversion"/>
  </si>
  <si>
    <t>- 사용료및수수료</t>
    <phoneticPr fontId="6" type="noConversion"/>
  </si>
  <si>
    <t>- 잡수입</t>
    <phoneticPr fontId="6" type="noConversion"/>
  </si>
  <si>
    <t>4. 부담금</t>
    <phoneticPr fontId="6" type="noConversion"/>
  </si>
  <si>
    <t>- 업무추진비</t>
    <phoneticPr fontId="6" type="noConversion"/>
  </si>
  <si>
    <t>- 직원 및 계약교직원</t>
    <phoneticPr fontId="6" type="noConversion"/>
  </si>
  <si>
    <t>- 교원</t>
    <phoneticPr fontId="6" type="noConversion"/>
  </si>
  <si>
    <t> - 학생수련활동비</t>
    <phoneticPr fontId="6" type="noConversion"/>
  </si>
  <si>
    <t>2. 현장체험학습비</t>
    <phoneticPr fontId="6" type="noConversion"/>
  </si>
  <si>
    <t>1. 급식비</t>
    <phoneticPr fontId="6" type="noConversion"/>
  </si>
  <si>
    <t>1. 이자수입</t>
    <phoneticPr fontId="6" type="noConversion"/>
  </si>
  <si>
    <t>2. 수수료</t>
    <phoneticPr fontId="6" type="noConversion"/>
  </si>
  <si>
    <t>3. 기타잡수입</t>
    <phoneticPr fontId="6" type="noConversion"/>
  </si>
  <si>
    <t>1. 순세계잉여금</t>
    <phoneticPr fontId="6" type="noConversion"/>
  </si>
  <si>
    <t>1. 학교운영지원비</t>
    <phoneticPr fontId="6" type="noConversion"/>
  </si>
  <si>
    <t>1. 임차료</t>
    <phoneticPr fontId="6" type="noConversion"/>
  </si>
  <si>
    <t>1. 운영비</t>
    <phoneticPr fontId="6" type="noConversion"/>
  </si>
  <si>
    <t>1. 방과후학교 운영</t>
    <phoneticPr fontId="6" type="noConversion"/>
  </si>
  <si>
    <t>1. 퇴직(적립)금</t>
    <phoneticPr fontId="6" type="noConversion"/>
  </si>
  <si>
    <t>2.재외교육기여장려금</t>
    <phoneticPr fontId="6" type="noConversion"/>
  </si>
  <si>
    <t>1. 시설비</t>
    <phoneticPr fontId="6" type="noConversion"/>
  </si>
  <si>
    <t>1. 교육환경개선</t>
    <phoneticPr fontId="6" type="noConversion"/>
  </si>
  <si>
    <t>9. 교무업무운영</t>
    <phoneticPr fontId="6" type="noConversion"/>
  </si>
  <si>
    <t>11. 입학식 및 졸업식(유치원)</t>
    <phoneticPr fontId="6" type="noConversion"/>
  </si>
  <si>
    <t>1. 학교발전기금전입금</t>
    <phoneticPr fontId="6" type="noConversion"/>
  </si>
  <si>
    <t>1. 법인전입금</t>
    <phoneticPr fontId="6" type="noConversion"/>
  </si>
  <si>
    <t>1. 기타지원금</t>
    <phoneticPr fontId="6" type="noConversion"/>
  </si>
  <si>
    <t>4. 통학차량 운영지원</t>
    <phoneticPr fontId="6" type="noConversion"/>
  </si>
  <si>
    <t>1. 적립금</t>
    <phoneticPr fontId="6" type="noConversion"/>
  </si>
  <si>
    <t>1. 환차익</t>
    <phoneticPr fontId="6" type="noConversion"/>
  </si>
  <si>
    <t>1. 저소득층자녀지원</t>
    <phoneticPr fontId="6" type="noConversion"/>
  </si>
  <si>
    <t>1. 방과후학교지원</t>
    <phoneticPr fontId="6" type="noConversion"/>
  </si>
  <si>
    <t>1. 시설(대수선)비</t>
    <phoneticPr fontId="6" type="noConversion"/>
  </si>
  <si>
    <t>1. 기타교육부지원</t>
    <phoneticPr fontId="6" type="noConversion"/>
  </si>
  <si>
    <t>1. 기관업무추진비</t>
    <phoneticPr fontId="6" type="noConversion"/>
  </si>
  <si>
    <t>2. 학교시설장비유지</t>
    <phoneticPr fontId="6" type="noConversion"/>
  </si>
  <si>
    <t>=</t>
    <phoneticPr fontId="6" type="noConversion"/>
  </si>
  <si>
    <t>1. 교육지원부 운영</t>
    <phoneticPr fontId="6" type="noConversion"/>
  </si>
  <si>
    <t>3. 학교급식비 지원</t>
    <phoneticPr fontId="6" type="noConversion"/>
  </si>
  <si>
    <t>1. 급식 재료구입비</t>
    <phoneticPr fontId="6" type="noConversion"/>
  </si>
  <si>
    <t>3. 교직원 복지 및 역량강화</t>
    <phoneticPr fontId="6" type="noConversion"/>
  </si>
  <si>
    <t>4. 업무용 차량운영</t>
    <phoneticPr fontId="6" type="noConversion"/>
  </si>
  <si>
    <t>5. 임차료</t>
    <phoneticPr fontId="6" type="noConversion"/>
  </si>
  <si>
    <t>1. 현재채용교직원인건비</t>
    <phoneticPr fontId="6" type="noConversion"/>
  </si>
  <si>
    <t>- 기타교육부지원금</t>
    <phoneticPr fontId="6" type="noConversion"/>
  </si>
  <si>
    <t>ㅇ여비(국내) 200원×12명×2회×12월</t>
    <phoneticPr fontId="6" type="noConversion"/>
  </si>
  <si>
    <t>=</t>
    <phoneticPr fontId="6" type="noConversion"/>
  </si>
  <si>
    <t>2. 예체능교과활동(초등학교)</t>
    <phoneticPr fontId="6" type="noConversion"/>
  </si>
  <si>
    <t>3. 예체능교과활동(유치원)</t>
    <phoneticPr fontId="6" type="noConversion"/>
  </si>
  <si>
    <t>4. 영어교과활동</t>
    <phoneticPr fontId="6" type="noConversion"/>
  </si>
  <si>
    <t>5. 중국어교과활동</t>
    <phoneticPr fontId="6" type="noConversion"/>
  </si>
  <si>
    <t>6.유치원 교과활동</t>
    <phoneticPr fontId="6" type="noConversion"/>
  </si>
  <si>
    <t>7. 자율활동(초등학교)</t>
    <phoneticPr fontId="6" type="noConversion"/>
  </si>
  <si>
    <t>8. 자율활동(유치원)</t>
    <phoneticPr fontId="6" type="noConversion"/>
  </si>
  <si>
    <t>2. 졸업앨범 제작(초등학교)</t>
    <phoneticPr fontId="6" type="noConversion"/>
  </si>
  <si>
    <t>3. 졸업앨범 제작(유치원)</t>
    <phoneticPr fontId="6" type="noConversion"/>
  </si>
  <si>
    <t>1. 현장체험학습(초등학교)</t>
    <phoneticPr fontId="6" type="noConversion"/>
  </si>
  <si>
    <t>2. 현장체험학습(유치원)</t>
    <phoneticPr fontId="6" type="noConversion"/>
  </si>
  <si>
    <t>10 입학식 및 졸업식(초등학교)</t>
    <phoneticPr fontId="6" type="noConversion"/>
  </si>
  <si>
    <t>ㅇ중국어능력평가 우편요금 50NTD×4회</t>
  </si>
  <si>
    <t>ㅇ학급운영비 200NTD×40명×2회</t>
  </si>
  <si>
    <t>ㅇ환경정리 500NTD×6학급</t>
  </si>
  <si>
    <t>ㅇ환경정리 500NTD×1학급</t>
  </si>
  <si>
    <t>ㅇ학교교육계획서 제작 400NTD×10부</t>
    <phoneticPr fontId="6" type="noConversion"/>
  </si>
  <si>
    <t>ㅇ졸업사진 촬영(교원) 400NTD×2명</t>
    <phoneticPr fontId="6" type="noConversion"/>
  </si>
  <si>
    <t>ㅇ졸업식 장식 3,000NTD×1회</t>
    <phoneticPr fontId="6" type="noConversion"/>
  </si>
  <si>
    <t>ㅇ졸업식 안내장 발송 우편요금 200NTD×1회</t>
    <phoneticPr fontId="6" type="noConversion"/>
  </si>
  <si>
    <t>ㅇ체육대회 장소임대 1,000NTD×1회</t>
    <phoneticPr fontId="6" type="noConversion"/>
  </si>
  <si>
    <t>3. 수학여행</t>
    <phoneticPr fontId="6" type="noConversion"/>
  </si>
  <si>
    <t>ㅇ수학여행인솔교사 예비비 100NTD×2명</t>
    <phoneticPr fontId="6" type="noConversion"/>
  </si>
  <si>
    <t>ㅇ학예회 준비물품 400NTD×40명</t>
    <phoneticPr fontId="6" type="noConversion"/>
  </si>
  <si>
    <t>2. 급식종사원인건비</t>
    <phoneticPr fontId="6" type="noConversion"/>
  </si>
  <si>
    <t>ㅇ홈페이지 도메인 사용료 750NTD×1년</t>
    <phoneticPr fontId="6" type="noConversion"/>
  </si>
  <si>
    <t>2. 계속비</t>
    <phoneticPr fontId="6" type="noConversion"/>
  </si>
  <si>
    <t>타 이 뻬 이 한 국 학 교</t>
    <phoneticPr fontId="6" type="noConversion"/>
  </si>
  <si>
    <t>예 산 총 칙</t>
    <phoneticPr fontId="16" type="noConversion"/>
  </si>
  <si>
    <t xml:space="preserve">           하며, 세입ㆍ세출의 명세는 『세입ㆍ세출예산서』와 같다. </t>
    <phoneticPr fontId="16" type="noConversion"/>
  </si>
  <si>
    <t xml:space="preserve">제2조 국가로부터 용도가 지정되어 교부된 경비 또는 수익자부담경비는 추가경정예산의 성립 전에   </t>
    <phoneticPr fontId="16" type="noConversion"/>
  </si>
  <si>
    <t xml:space="preserve">         사용할 수 있으며, 이를 차기 추가경정예산에 반영한다.</t>
    <phoneticPr fontId="16" type="noConversion"/>
  </si>
  <si>
    <t xml:space="preserve">제3조 동일 예산 관내의 항간 또는 목간에 예산의 과부족이 있는 경우에는 사학기관재무ㆍ회계규칙 </t>
    <phoneticPr fontId="16" type="noConversion"/>
  </si>
  <si>
    <t xml:space="preserve">         제21조 제3항의 규정에 의하여 상호 전용할 수 있다. </t>
    <phoneticPr fontId="16" type="noConversion"/>
  </si>
  <si>
    <t xml:space="preserve">         단, 회계연도 경과 후에는 예산을 전용할 수 없으며, 업무추진비에 충당하기 위하여 다른 </t>
    <phoneticPr fontId="16" type="noConversion"/>
  </si>
  <si>
    <t xml:space="preserve">         비목에서 전용할 수 없다. </t>
    <phoneticPr fontId="16" type="noConversion"/>
  </si>
  <si>
    <t xml:space="preserve">제4조 다음의 경비에 부족이 생겼을 때에는 비목 상호간 또는 타 비목으로부터 이용할 수 있다. </t>
    <phoneticPr fontId="16" type="noConversion"/>
  </si>
  <si>
    <t xml:space="preserve">         단; 인건비 및 시설비의 예산은 다른 과목으로 이용할 수 없다.</t>
    <phoneticPr fontId="16" type="noConversion"/>
  </si>
  <si>
    <t xml:space="preserve">          1. 교원 및 직원 인건비, 연구비, 수당</t>
    <phoneticPr fontId="16" type="noConversion"/>
  </si>
  <si>
    <t xml:space="preserve">          2. 비정규직보수, 강사료</t>
    <phoneticPr fontId="16" type="noConversion"/>
  </si>
  <si>
    <t xml:space="preserve">          3. 세금, 공과금, 반환금</t>
    <phoneticPr fontId="16" type="noConversion"/>
  </si>
  <si>
    <t>1.사용료</t>
    <phoneticPr fontId="6" type="noConversion"/>
  </si>
  <si>
    <t>1. 과년도수입</t>
    <phoneticPr fontId="6" type="noConversion"/>
  </si>
  <si>
    <t>ㅇ나대지 61,668NTD×1년</t>
    <phoneticPr fontId="6" type="noConversion"/>
  </si>
  <si>
    <t>ㅇ저수조 청소 5,000NTD×2회</t>
    <phoneticPr fontId="6" type="noConversion"/>
  </si>
  <si>
    <t>ㅇ응급학생 병원후송 500NTD×5회</t>
    <phoneticPr fontId="6" type="noConversion"/>
  </si>
  <si>
    <t>ㅇ상하수도요금 500NTD×12월</t>
    <phoneticPr fontId="6" type="noConversion"/>
  </si>
  <si>
    <t>=</t>
    <phoneticPr fontId="6" type="noConversion"/>
  </si>
  <si>
    <t>4. 유제품대금</t>
    <phoneticPr fontId="6" type="noConversion"/>
  </si>
  <si>
    <t>3. 운영비</t>
    <phoneticPr fontId="6" type="noConversion"/>
  </si>
  <si>
    <t>ㅇ교수학습재료구입비</t>
    <phoneticPr fontId="6" type="noConversion"/>
  </si>
  <si>
    <t>ㅇ방과후학교운영비</t>
    <phoneticPr fontId="6" type="noConversion"/>
  </si>
  <si>
    <t>=</t>
    <phoneticPr fontId="6" type="noConversion"/>
  </si>
  <si>
    <t>ㅇ체육대회 준비물품 200NTD×45개</t>
    <phoneticPr fontId="6" type="noConversion"/>
  </si>
  <si>
    <t>ㅇ체육대회 풍선장식 2,000NTD×1회</t>
    <phoneticPr fontId="6" type="noConversion"/>
  </si>
  <si>
    <t>ㅇ태권도 강사수당 900NTD×1명×3시간×40회</t>
    <phoneticPr fontId="6" type="noConversion"/>
  </si>
  <si>
    <t>ㅇ보결수당 150NTD×40시간</t>
    <phoneticPr fontId="6" type="noConversion"/>
  </si>
  <si>
    <t>ㅇ정수기 필터교환 650NTD×2대×6회</t>
    <phoneticPr fontId="6" type="noConversion"/>
  </si>
  <si>
    <t>ㅇ거류비자 및 공작증 신청 4,325NTD×4명</t>
    <phoneticPr fontId="6" type="noConversion"/>
  </si>
  <si>
    <t>ㅇ예금잔액증명 발급수수료 500NTD×5회</t>
    <phoneticPr fontId="6" type="noConversion"/>
  </si>
  <si>
    <t>ㅇ교직원 채용경비 32,000원×1회</t>
    <phoneticPr fontId="6" type="noConversion"/>
  </si>
  <si>
    <t>ㅇ타행송금및환전수수료(납입금환불) 30NTD×50회</t>
    <phoneticPr fontId="6" type="noConversion"/>
  </si>
  <si>
    <t>ㅇ사무용품 구입(교수학습자료지원금) 2,000NTD×5회</t>
    <phoneticPr fontId="6" type="noConversion"/>
  </si>
  <si>
    <t>ㅇ복사용지(교수학습자료지원금) 5,000NTD×2회</t>
    <phoneticPr fontId="6" type="noConversion"/>
  </si>
  <si>
    <t>ㅇ우편요금 150NTD×12월</t>
    <phoneticPr fontId="6" type="noConversion"/>
  </si>
  <si>
    <t>ㅇ화장실 소모품 및 청소용품 2,000NTD×4회</t>
    <phoneticPr fontId="6" type="noConversion"/>
  </si>
  <si>
    <t>ㅇ 환경개선 10,000NTD×2회</t>
    <phoneticPr fontId="6" type="noConversion"/>
  </si>
  <si>
    <t>ㅇ시간외근무수당 300NTD×5명×3시간×12월</t>
    <phoneticPr fontId="6" type="noConversion"/>
  </si>
  <si>
    <t>ㅇ시간외근무수당 300NTD×2명×8시간×12월</t>
    <phoneticPr fontId="6" type="noConversion"/>
  </si>
  <si>
    <t>ㅇ화장실 청소용역 12,000NTD×10월</t>
    <phoneticPr fontId="6" type="noConversion"/>
  </si>
  <si>
    <t>ㅇ교재 1,300NTD×45부</t>
    <phoneticPr fontId="6" type="noConversion"/>
  </si>
  <si>
    <t>ㅇ공책 10NTD×45부×6회</t>
    <phoneticPr fontId="6" type="noConversion"/>
  </si>
  <si>
    <t>ㅇ학습준비물 100NTD×45명×2회</t>
    <phoneticPr fontId="6" type="noConversion"/>
  </si>
  <si>
    <t>ㅇ행사물품 1,000NTD×1회</t>
    <phoneticPr fontId="6" type="noConversion"/>
  </si>
  <si>
    <t>ㅇ교재 400NTD×90부</t>
    <phoneticPr fontId="6" type="noConversion"/>
  </si>
  <si>
    <t>ㅇ공책 10NTD×45부×6회</t>
    <phoneticPr fontId="6" type="noConversion"/>
  </si>
  <si>
    <t>ㅇ학예회 무대장식 4,000NTD×1회</t>
    <phoneticPr fontId="6" type="noConversion"/>
  </si>
  <si>
    <t>ㅇ졸업생 선물 600NTD×3개</t>
    <phoneticPr fontId="6" type="noConversion"/>
  </si>
  <si>
    <t>ㅇ졸업앨범 제작(교원,학교보관용) 666NTD×3부</t>
    <phoneticPr fontId="6" type="noConversion"/>
  </si>
  <si>
    <t>ㅇ행정장비 소모품(교수학습자료지원금) 4,000NTD×6회</t>
    <phoneticPr fontId="6" type="noConversion"/>
  </si>
  <si>
    <t>ㅇ전기안전관리용역 3,200NTD×12월</t>
    <phoneticPr fontId="6" type="noConversion"/>
  </si>
  <si>
    <t>ㅇ태권도복 600NTD×15벌</t>
    <phoneticPr fontId="6" type="noConversion"/>
  </si>
  <si>
    <t>ㅇ졸업앨범 제작(교원,학교보관용) 667NTD×3부</t>
    <phoneticPr fontId="6" type="noConversion"/>
  </si>
  <si>
    <t>ㅇ학교안전공제회비(학생,교직원) 550NTD×53명</t>
    <phoneticPr fontId="6" type="noConversion"/>
  </si>
  <si>
    <t>2. 지난년도 수입</t>
    <phoneticPr fontId="6" type="noConversion"/>
  </si>
  <si>
    <t>ㅇ실장 45,000NTD×1명×12월</t>
    <phoneticPr fontId="6" type="noConversion"/>
  </si>
  <si>
    <t>ㅇ경조사비 1,500NTD×2회</t>
    <phoneticPr fontId="6" type="noConversion"/>
  </si>
  <si>
    <t>ㅇ교직원 귀임 및 부임항공료 9,000NTD×5명</t>
    <phoneticPr fontId="6" type="noConversion"/>
  </si>
  <si>
    <t>ㅇ소방정밀점검 12,000NTD×1회</t>
    <phoneticPr fontId="6" type="noConversion"/>
  </si>
  <si>
    <t>ㅇ정수기 소독 3,500NTD×2대×1회</t>
    <phoneticPr fontId="6" type="noConversion"/>
  </si>
  <si>
    <t>ㅇ전화 및 인터넷요금 5,500N*12월</t>
    <phoneticPr fontId="6" type="noConversion"/>
  </si>
  <si>
    <t>ㅇ입학식 선물 300NTD×13명</t>
    <phoneticPr fontId="6" type="noConversion"/>
  </si>
  <si>
    <t>5. 현장학습 지원</t>
    <phoneticPr fontId="6" type="noConversion"/>
  </si>
  <si>
    <t>ㅇ교직원 간담회 350NTD×12명×5회</t>
    <phoneticPr fontId="6" type="noConversion"/>
  </si>
  <si>
    <t>ㅇ행정장비 소모품 구입 10,000NTD×5회</t>
    <phoneticPr fontId="6" type="noConversion"/>
  </si>
  <si>
    <t>ㅇ행정장비 유지보수 6,300NTD×1회</t>
    <phoneticPr fontId="6" type="noConversion"/>
  </si>
  <si>
    <t> 【단위 : 현지화(NTD, 괄호안 USD, 1USD=29NTD)】</t>
    <phoneticPr fontId="6" type="noConversion"/>
  </si>
  <si>
    <t>ㅇ예금이자 3,000NTD×2회</t>
    <phoneticPr fontId="6" type="noConversion"/>
  </si>
  <si>
    <t>ㅇ제증명발급 수수료 100NTD×3건+1,700 NTD</t>
    <phoneticPr fontId="6" type="noConversion"/>
  </si>
  <si>
    <t>ㅇ여비(국외출장) 20,000원×2명×2회+96,000NTD</t>
    <phoneticPr fontId="6" type="noConversion"/>
  </si>
  <si>
    <t>ㅇ수학여행인솔교사 출장비 10,000NTD</t>
    <phoneticPr fontId="6" type="noConversion"/>
  </si>
  <si>
    <t>ㅇ수학여행인솔교사 숙박비 2,500NTD×2실×1박+1,000NTD</t>
    <phoneticPr fontId="6" type="noConversion"/>
  </si>
  <si>
    <t>ㅇ수학여행인솔교사 식비 300NTD×2명×11회</t>
    <phoneticPr fontId="6" type="noConversion"/>
  </si>
  <si>
    <t>ㅇ수학여행인솔교사 입장료 2,300NTD×2명</t>
    <phoneticPr fontId="6" type="noConversion"/>
  </si>
  <si>
    <t>ㅇ수학여행인솔교사 교통비 9,500NTD×2명</t>
    <phoneticPr fontId="6" type="noConversion"/>
  </si>
  <si>
    <t>ㅇ수학여행인솔교사 여행자보험 1,472NTD×2명</t>
    <phoneticPr fontId="6" type="noConversion"/>
  </si>
  <si>
    <t>12. 토요한글학교 운영(재외동포재단지원금)</t>
    <phoneticPr fontId="6" type="noConversion"/>
  </si>
  <si>
    <t xml:space="preserve"> 2019학년도 </t>
    <phoneticPr fontId="16" type="noConversion"/>
  </si>
  <si>
    <t>2019학년도 타이뻬이한국학교회계 세입․세출예산서</t>
    <phoneticPr fontId="6" type="noConversion"/>
  </si>
  <si>
    <t>ㅇ초등현장학습 인솔 교직원 중식 300NTD×8명×1회</t>
    <phoneticPr fontId="6" type="noConversion"/>
  </si>
  <si>
    <t>ㅇ초등현장학습 인솔교직원 활동비 300NTD×8명×2회</t>
    <phoneticPr fontId="6" type="noConversion"/>
  </si>
  <si>
    <t>ㅇ유치원현장학습 인솔교직원 중식 300NTD×4명×1회</t>
    <phoneticPr fontId="6" type="noConversion"/>
  </si>
  <si>
    <t>ㅇ유치원현장학습 인솔교직원 활동비 300NTD×4명×1회</t>
    <phoneticPr fontId="6" type="noConversion"/>
  </si>
  <si>
    <t>ㅇ승강기안전관리용역 3,000NTD×12월</t>
    <phoneticPr fontId="6" type="noConversion"/>
  </si>
  <si>
    <t>ㅇ유치원 교육전담사 170NTD×1명×8시간×183일</t>
    <phoneticPr fontId="6" type="noConversion"/>
  </si>
  <si>
    <t>ㅇ유치원 보조원 150NTD×1명×4시간×180일</t>
    <phoneticPr fontId="6" type="noConversion"/>
  </si>
  <si>
    <t>ㅇ건강보험기관부담금부담금 5,000NTD×12월</t>
    <phoneticPr fontId="6" type="noConversion"/>
  </si>
  <si>
    <t>ㅇ학습준비물 1,000NTD×20명</t>
    <phoneticPr fontId="6" type="noConversion"/>
  </si>
  <si>
    <t>ㅇ학급운영비 400NTD×20명</t>
    <phoneticPr fontId="6" type="noConversion"/>
  </si>
  <si>
    <t>ㅇ학예회경비 200NTD×20명</t>
    <phoneticPr fontId="6" type="noConversion"/>
  </si>
  <si>
    <t>ㅇ졸업사진 촬영(교원) 400NTD×3명</t>
    <phoneticPr fontId="6" type="noConversion"/>
  </si>
  <si>
    <t>ㅇ졸업선물 800NTD×8명</t>
    <phoneticPr fontId="6" type="noConversion"/>
  </si>
  <si>
    <t>ㅇ교사 소독 5,000NTD×3회=</t>
    <phoneticPr fontId="6" type="noConversion"/>
  </si>
  <si>
    <t>ㅇ차량 보험료 40,00NTD×2대×1년</t>
    <phoneticPr fontId="6" type="noConversion"/>
  </si>
  <si>
    <t>ㅇ차량 유류 15,600NTD×9월</t>
    <phoneticPr fontId="6" type="noConversion"/>
  </si>
  <si>
    <t>ㅇ차량 등록세 및 연료세 15,00NTD×2대×1년</t>
    <phoneticPr fontId="6" type="noConversion"/>
  </si>
  <si>
    <t>6. 저소득층자녀 학비지원(교육부지원금)</t>
    <phoneticPr fontId="6" type="noConversion"/>
  </si>
  <si>
    <t>7. 기타 학생복지 지원</t>
    <phoneticPr fontId="6" type="noConversion"/>
  </si>
  <si>
    <t>ㅇ현장학습 차량비 지원(기사인건비) 750NTD×1명×12회×3시간</t>
    <phoneticPr fontId="6" type="noConversion"/>
  </si>
  <si>
    <t>ㅇ 사무용 비품 5,000NTD×4회</t>
    <phoneticPr fontId="6" type="noConversion"/>
  </si>
  <si>
    <t>5. 위탁급식 대금</t>
    <phoneticPr fontId="6" type="noConversion"/>
  </si>
  <si>
    <t>ㅇ졸업앨범제작비 4명× 2,017 NTD</t>
    <phoneticPr fontId="6" type="noConversion"/>
  </si>
  <si>
    <t>ㅇ졸업앨범제작비 4명× 2,017 NTD</t>
    <phoneticPr fontId="6" type="noConversion"/>
  </si>
  <si>
    <t>3. 이월사업비</t>
    <phoneticPr fontId="6" type="noConversion"/>
  </si>
  <si>
    <t>ㅇ요구르트 16NTD×20명×180일</t>
    <phoneticPr fontId="6" type="noConversion"/>
  </si>
  <si>
    <t>ㅇ우유 18NTD×20명×180일</t>
    <phoneticPr fontId="6" type="noConversion"/>
  </si>
  <si>
    <t>ㅇ통학버스비 314NTD×10명×182일</t>
    <phoneticPr fontId="6" type="noConversion"/>
  </si>
  <si>
    <t>ㅇ학생 110NTD×50명×181식</t>
    <phoneticPr fontId="6" type="noConversion"/>
  </si>
  <si>
    <t>ㅇ교직원 110NTD×5명×181식</t>
    <phoneticPr fontId="6" type="noConversion"/>
  </si>
  <si>
    <t>(회계연도 2019년  3월  1일 ~ 2020년   2월   28일)</t>
    <phoneticPr fontId="6" type="noConversion"/>
  </si>
  <si>
    <t> 【단위 : 현지화 NTD】</t>
    <phoneticPr fontId="6" type="noConversion"/>
  </si>
  <si>
    <t>ㅇ강사수당(초등) 650NTD×2명×4시간×180일+650NTD×1명×2시간×180일</t>
    <phoneticPr fontId="6" type="noConversion"/>
  </si>
  <si>
    <t>ㅇ직책수당(실장) 4,000NTD×1명×12월</t>
    <phoneticPr fontId="6" type="noConversion"/>
  </si>
  <si>
    <t>산출기초(단위: NTDD)</t>
    <phoneticPr fontId="6" type="noConversion"/>
  </si>
  <si>
    <t>ㅇ복지수당 7,000NTD×2명×12월</t>
    <phoneticPr fontId="6" type="noConversion"/>
  </si>
  <si>
    <t xml:space="preserve">ㅇ 2018학년도 회계 잉여금 </t>
    <phoneticPr fontId="6" type="noConversion"/>
  </si>
  <si>
    <t>교수</t>
    <phoneticPr fontId="6" type="noConversion"/>
  </si>
  <si>
    <t>ㅇ주택수당(실장) 18,000NTD×1명×12월</t>
    <phoneticPr fontId="6" type="noConversion"/>
  </si>
  <si>
    <t>ㅇ부양가족 추가 주택수당 2,000NTD×1명×11월</t>
    <phoneticPr fontId="6" type="noConversion"/>
  </si>
  <si>
    <t xml:space="preserve">  타이뻬이한국학교회계 2차 추가경정 세입세출 예산</t>
    <phoneticPr fontId="16" type="noConversion"/>
  </si>
  <si>
    <t>ㅇ초등학생 15,000NTD×12명+30,000NTD×3명</t>
    <phoneticPr fontId="6" type="noConversion"/>
  </si>
  <si>
    <t>ㅇ유치원 30,000NTD×11명+15,000NTD×2명</t>
    <phoneticPr fontId="6" type="noConversion"/>
  </si>
  <si>
    <t>ㅇ초등학생 30,500NTD×33명×2회</t>
    <phoneticPr fontId="6" type="noConversion"/>
  </si>
  <si>
    <t>ㅇ유치원 40,000NTD×20명×2회-26,207NTD</t>
    <phoneticPr fontId="6" type="noConversion"/>
  </si>
  <si>
    <t>ㅇ수학여행 9,611NTD×5명×1회</t>
    <phoneticPr fontId="6" type="noConversion"/>
  </si>
  <si>
    <t>ㅇ항공료 5,605NTD×5명</t>
    <phoneticPr fontId="6" type="noConversion"/>
  </si>
  <si>
    <t>ㅇ보험료 254NTD×5명</t>
    <phoneticPr fontId="6" type="noConversion"/>
  </si>
  <si>
    <t>ㅇ숙박비 938NTD×5명×4박</t>
    <phoneticPr fontId="6" type="noConversion"/>
  </si>
  <si>
    <t xml:space="preserve">ㅇ방과후교육활동비 </t>
    <phoneticPr fontId="6" type="noConversion"/>
  </si>
  <si>
    <t xml:space="preserve">ㅇ강사수당 </t>
    <phoneticPr fontId="6" type="noConversion"/>
  </si>
  <si>
    <t>ㅇ교재 및 재료비</t>
    <phoneticPr fontId="6" type="noConversion"/>
  </si>
  <si>
    <t>ㅇ전기요금 및 수용비</t>
    <phoneticPr fontId="6" type="noConversion"/>
  </si>
  <si>
    <t>4. 방과후교육활동비</t>
    <phoneticPr fontId="6" type="noConversion"/>
  </si>
  <si>
    <t>5. 기타수익자부담경비</t>
    <phoneticPr fontId="6" type="noConversion"/>
  </si>
  <si>
    <t>3. 토요한글학교운영비</t>
    <phoneticPr fontId="6" type="noConversion"/>
  </si>
  <si>
    <t>ㅇ토요한글학교 수업료</t>
    <phoneticPr fontId="6" type="noConversion"/>
  </si>
  <si>
    <t>ㅇ초등 현장체험학습비 300NTD×33명×1회</t>
    <phoneticPr fontId="6" type="noConversion"/>
  </si>
  <si>
    <t>ㅇ유치원 현장체험학습비 5,405NTD</t>
    <phoneticPr fontId="6" type="noConversion"/>
  </si>
  <si>
    <t>ㅇ버스 임차비 및 보험료 300NTD×33명</t>
    <phoneticPr fontId="6" type="noConversion"/>
  </si>
  <si>
    <t xml:space="preserve">ㅇ버스 임차비 </t>
    <phoneticPr fontId="6" type="noConversion"/>
  </si>
  <si>
    <t xml:space="preserve">ㅇ강사수당 </t>
    <phoneticPr fontId="6" type="noConversion"/>
  </si>
  <si>
    <t>ㅇ관리자 수당 및 회계직원 수당</t>
    <phoneticPr fontId="6" type="noConversion"/>
  </si>
  <si>
    <t>ㅇ통학차량 기사인건비 325NTD×1명×5시간×162일</t>
    <phoneticPr fontId="6" type="noConversion"/>
  </si>
  <si>
    <t>ㅇ통학차량 기사인건비 425NTD×1명×2.5시간×162일</t>
    <phoneticPr fontId="6" type="noConversion"/>
  </si>
  <si>
    <t>ㅇ주차요금 7,000NTD×3분기</t>
    <phoneticPr fontId="6" type="noConversion"/>
  </si>
  <si>
    <t>ㅇ통학버스 거시 안건비 학교 지원금</t>
    <phoneticPr fontId="6" type="noConversion"/>
  </si>
  <si>
    <t>ㅇ졸업앨범(초등학생) 1,550NTD×4명</t>
    <phoneticPr fontId="6" type="noConversion"/>
  </si>
  <si>
    <t>ㅇ졸업앨범(유치원) 9명</t>
    <phoneticPr fontId="6" type="noConversion"/>
  </si>
  <si>
    <t>ㅇ나대지 49,817NTD(1년)×1회</t>
    <phoneticPr fontId="6" type="noConversion"/>
  </si>
  <si>
    <t>ㅇ인건비 5,753,542NTD×1년</t>
    <phoneticPr fontId="6" type="noConversion"/>
  </si>
  <si>
    <t>ㅇ운영비 4,667,818NTD×1년</t>
    <phoneticPr fontId="6" type="noConversion"/>
  </si>
  <si>
    <t>ㅇ저소득층자녀지원금 30,000NTD×1회</t>
    <phoneticPr fontId="6" type="noConversion"/>
  </si>
  <si>
    <t xml:space="preserve">ㅇ강사비 </t>
    <phoneticPr fontId="6" type="noConversion"/>
  </si>
  <si>
    <t>ㅇ 교실 및 강당 사용료 3,500NTD×1회</t>
    <phoneticPr fontId="6" type="noConversion"/>
  </si>
  <si>
    <t>ㅇ시간강사 550NTD×1명×5시간×87일×550NTD시간×2명×5시간×95일</t>
    <phoneticPr fontId="6" type="noConversion"/>
  </si>
  <si>
    <t>ㅇ부장수당 4,000NTD×1명×12월+2,000NTD×2명×6월</t>
    <phoneticPr fontId="6" type="noConversion"/>
  </si>
  <si>
    <t>ㅇ교사 45,000NTD×5명×6월+ 45,000NTD×4명×6월</t>
    <phoneticPr fontId="6" type="noConversion"/>
  </si>
  <si>
    <t>ㅇ담임수당 4,000NTD×5명×6월+4,000NTD×4명×6월</t>
    <phoneticPr fontId="6" type="noConversion"/>
  </si>
  <si>
    <t>ㅇ복지수당 7,000NTD×5명×6월+7,000NTD×4명×6월</t>
    <phoneticPr fontId="6" type="noConversion"/>
  </si>
  <si>
    <t xml:space="preserve">ㅇ주택수당 </t>
    <phoneticPr fontId="6" type="noConversion"/>
  </si>
  <si>
    <t>ㅇ보전수당 4,000NTD×5명×6월+4,000NTD×4명×6월</t>
    <phoneticPr fontId="6" type="noConversion"/>
  </si>
  <si>
    <t>ㅇ경력수당 33,000NTD×6월+7,000NTD×4명×6월</t>
    <phoneticPr fontId="6" type="noConversion"/>
  </si>
  <si>
    <t>ㅇ명절휴가비 45,000NTD×4명×2회×60%</t>
    <phoneticPr fontId="6" type="noConversion"/>
  </si>
  <si>
    <t>ㅇ건강보험기관부담금부담금 25,000NTD×6월+22,000NTD*6월+85,551NTD</t>
    <phoneticPr fontId="6" type="noConversion"/>
  </si>
  <si>
    <t>ㅇ행정원 25,000NTD×1명×6월+32,000NTD×6월</t>
    <phoneticPr fontId="6" type="noConversion"/>
  </si>
  <si>
    <t>ㅇ경력수당(실장) 6,000NTD×1명×12월</t>
    <phoneticPr fontId="6" type="noConversion"/>
  </si>
  <si>
    <t>ㅇ명절휴가비 38,500NTD×2명×2회×60%</t>
    <phoneticPr fontId="6" type="noConversion"/>
  </si>
  <si>
    <t>ㅇ노동보험기관부담금 3,200NTD×12월</t>
    <phoneticPr fontId="6" type="noConversion"/>
  </si>
  <si>
    <t>ㅇ퇴휴금(행정원) 2,520NTD×1명×12월</t>
    <phoneticPr fontId="6" type="noConversion"/>
  </si>
  <si>
    <t xml:space="preserve">ㅇ대만국적 교직원 퇴직금 </t>
    <phoneticPr fontId="6" type="noConversion"/>
  </si>
  <si>
    <t>ㅇ전기요금 20,000NTD×12월</t>
    <phoneticPr fontId="6" type="noConversion"/>
  </si>
  <si>
    <t>ㅇ건물 청소용역 17,000NTD×5월+20,000NTD×5월</t>
    <phoneticPr fontId="6" type="noConversion"/>
  </si>
  <si>
    <t>ㅇ기계경비용역료 7,000NTD×12월</t>
    <phoneticPr fontId="6" type="noConversion"/>
  </si>
  <si>
    <t>ㅇ소규모수선 10,000NTD×15회</t>
    <phoneticPr fontId="6" type="noConversion"/>
  </si>
  <si>
    <t>ㅇ시설소모품구입 10,000NTD×5회</t>
    <phoneticPr fontId="6" type="noConversion"/>
  </si>
  <si>
    <t>ㅇ교직원 자율연수비 1,000NTD×5명×12월</t>
    <phoneticPr fontId="6" type="noConversion"/>
  </si>
  <si>
    <t>ㅇ학습준비물(교수학습자료지원금) 10,000NTD×35명</t>
    <phoneticPr fontId="6" type="noConversion"/>
  </si>
  <si>
    <t>ㅇ강사수당(유치원) 650NTD×1명×2시간×180일</t>
    <phoneticPr fontId="6" type="noConversion"/>
  </si>
  <si>
    <t>ㅇ부장수당 2,000NTD×1명×10월</t>
    <phoneticPr fontId="6" type="noConversion"/>
  </si>
  <si>
    <t>ㅇ강사수당(유치원) 600NTD×1명×1.5시간×143일</t>
    <phoneticPr fontId="6" type="noConversion"/>
  </si>
  <si>
    <t>ㅇ강사수당(초등) 600NTD×2명×4시간×143일+550NTD×1명×2시간×143일</t>
    <phoneticPr fontId="6" type="noConversion"/>
  </si>
  <si>
    <t>ㅇ부장수당 2,000NTD×1명×10월</t>
    <phoneticPr fontId="6" type="noConversion"/>
  </si>
  <si>
    <t>ㅇ건강보험기관부담금 3,700NTD×6월+5,500NTD×6월</t>
    <phoneticPr fontId="6" type="noConversion"/>
  </si>
  <si>
    <t>ㅇ 건강보험기관부담금  2,500NTD×6월</t>
    <phoneticPr fontId="6" type="noConversion"/>
  </si>
  <si>
    <t>ㅇ약품 1,500NTD×10회</t>
    <phoneticPr fontId="6" type="noConversion"/>
  </si>
  <si>
    <t>ㅇ저소득층 자녀 학비 지원금 30,000NTD</t>
    <phoneticPr fontId="6" type="noConversion"/>
  </si>
  <si>
    <t>ㅇ 교재 및 재료비</t>
    <phoneticPr fontId="6" type="noConversion"/>
  </si>
  <si>
    <t>ㅇ간식비 지원 23NTD×94일×50명 =</t>
    <phoneticPr fontId="6" type="noConversion"/>
  </si>
  <si>
    <t>13. 방과후학교운영(교육부지원금)</t>
    <phoneticPr fontId="6" type="noConversion"/>
  </si>
  <si>
    <t>2. 토요한글학교 운영</t>
    <phoneticPr fontId="6" type="noConversion"/>
  </si>
  <si>
    <t>ㅇ입학선물 584NTD×60개</t>
    <phoneticPr fontId="6" type="noConversion"/>
  </si>
  <si>
    <t>ㅇ교사 90,000NTD×1명+90,000NTD×2명</t>
    <phoneticPr fontId="6" type="noConversion"/>
  </si>
  <si>
    <t>ㅇ급식실 조성비(교육부지원금)</t>
    <phoneticPr fontId="6" type="noConversion"/>
  </si>
  <si>
    <t>=</t>
    <phoneticPr fontId="6" type="noConversion"/>
  </si>
  <si>
    <t>ㅇ토요한글학교운영비(재단지원금)</t>
    <phoneticPr fontId="6" type="noConversion"/>
  </si>
  <si>
    <t>ㅇ통학버스 안전요원 인건비
(교육부지원금)</t>
    <phoneticPr fontId="6" type="noConversion"/>
  </si>
  <si>
    <t>ㅇ 급식실 설치 공사비(학교지원금)</t>
    <phoneticPr fontId="6" type="noConversion"/>
  </si>
  <si>
    <t>ㅇ 급식실 설치 공사비(교욱부 지원금)</t>
    <phoneticPr fontId="6" type="noConversion"/>
  </si>
  <si>
    <t>=</t>
    <phoneticPr fontId="6" type="noConversion"/>
  </si>
  <si>
    <t>ㅇ통학버스 안전도우미 인건비 (교육부 지원금)</t>
    <phoneticPr fontId="6" type="noConversion"/>
  </si>
  <si>
    <t>제 1 조 2019학년도 타이뻬이한국학교회계 세입ㆍ세출 예산 총액은 세입ㆍ세출 각각  19,595,268NTD로</t>
    <phoneticPr fontId="16" type="noConversion"/>
  </si>
  <si>
    <t xml:space="preserve">ㅇ 통학버스비 운영 지원금 </t>
    <phoneticPr fontId="6" type="noConversion"/>
  </si>
  <si>
    <t xml:space="preserve">ㅇ통학버스 안전도우미 인건비 (학교 지원금) </t>
    <phoneticPr fontId="6" type="noConversion"/>
  </si>
  <si>
    <t xml:space="preserve">ㅇ통학버스 안전도우미 인건비 (발전기금 지원금) </t>
    <phoneticPr fontId="6" type="noConversion"/>
  </si>
  <si>
    <t>=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</si>
</sst>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_ "/>
    <numFmt numFmtId="177" formatCode="#,##0_ "/>
  </numFmts>
  <fonts count="2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4"/>
      <color rgb="FF000000"/>
      <name val="휴먼명조"/>
      <family val="3"/>
      <charset val="129"/>
    </font>
    <font>
      <sz val="9"/>
      <color rgb="FF000000"/>
      <name val="한양신명조"/>
      <family val="3"/>
      <charset val="129"/>
    </font>
    <font>
      <b/>
      <sz val="9"/>
      <color rgb="FF000000"/>
      <name val="한양신명조"/>
      <family val="3"/>
      <charset val="129"/>
    </font>
    <font>
      <sz val="8"/>
      <name val="맑은 고딕"/>
      <family val="2"/>
      <charset val="129"/>
      <scheme val="minor"/>
    </font>
    <font>
      <b/>
      <sz val="10"/>
      <color rgb="FF000000"/>
      <name val="휴먼명조"/>
      <family val="3"/>
      <charset val="129"/>
    </font>
    <font>
      <sz val="13"/>
      <color rgb="FF000000"/>
      <name val="맑은 고딕"/>
      <family val="3"/>
      <charset val="129"/>
      <scheme val="major"/>
    </font>
    <font>
      <sz val="9"/>
      <color theme="1"/>
      <name val="한양신명조"/>
      <family val="3"/>
      <charset val="129"/>
    </font>
    <font>
      <b/>
      <sz val="6"/>
      <color rgb="FF000000"/>
      <name val="한양신명조"/>
      <family val="3"/>
      <charset val="129"/>
    </font>
    <font>
      <b/>
      <sz val="9"/>
      <color theme="1"/>
      <name val="한양신명조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1"/>
      <color indexed="10"/>
      <name val="HY헤드라인M"/>
      <family val="1"/>
      <charset val="129"/>
    </font>
    <font>
      <sz val="11"/>
      <color theme="1"/>
      <name val="HY헤드라인M"/>
      <family val="1"/>
      <charset val="129"/>
    </font>
    <font>
      <b/>
      <sz val="26"/>
      <name val="HY헤드라인M"/>
      <family val="1"/>
      <charset val="129"/>
    </font>
    <font>
      <sz val="8"/>
      <name val="돋움"/>
      <family val="3"/>
      <charset val="129"/>
    </font>
    <font>
      <b/>
      <sz val="28"/>
      <name val="HY헤드라인M"/>
      <family val="1"/>
      <charset val="129"/>
    </font>
    <font>
      <b/>
      <sz val="22"/>
      <name val="HY헤드라인M"/>
      <family val="1"/>
      <charset val="129"/>
    </font>
    <font>
      <sz val="24"/>
      <name val="HY헤드라인M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8"/>
      <color rgb="FF000000"/>
      <name val="HY헤드라인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vertical="center"/>
    </xf>
    <xf numFmtId="41" fontId="0" fillId="0" borderId="0" xfId="1" applyFont="1" applyAlignment="1">
      <alignment vertical="center"/>
    </xf>
    <xf numFmtId="41" fontId="5" fillId="0" borderId="4" xfId="1" applyFont="1" applyBorder="1" applyAlignment="1">
      <alignment horizontal="center" vertical="center" wrapText="1"/>
    </xf>
    <xf numFmtId="41" fontId="5" fillId="0" borderId="2" xfId="1" applyFont="1" applyBorder="1" applyAlignment="1">
      <alignment horizontal="justify" vertical="center" wrapText="1"/>
    </xf>
    <xf numFmtId="41" fontId="5" fillId="0" borderId="3" xfId="1" applyFont="1" applyBorder="1" applyAlignment="1">
      <alignment horizontal="justify" vertical="center" wrapText="1"/>
    </xf>
    <xf numFmtId="41" fontId="5" fillId="0" borderId="1" xfId="1" applyFont="1" applyBorder="1" applyAlignment="1">
      <alignment horizontal="justify" vertical="center" wrapText="1"/>
    </xf>
    <xf numFmtId="41" fontId="2" fillId="0" borderId="0" xfId="1" applyFont="1" applyAlignment="1">
      <alignment vertical="center"/>
    </xf>
    <xf numFmtId="0" fontId="0" fillId="0" borderId="0" xfId="0" applyFont="1" applyFill="1" applyAlignment="1">
      <alignment vertical="center"/>
    </xf>
    <xf numFmtId="41" fontId="0" fillId="0" borderId="0" xfId="1" applyFont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41" fontId="0" fillId="0" borderId="0" xfId="1" applyFont="1" applyAlignment="1">
      <alignment horizontal="center" vertical="center" shrinkToFi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5" fillId="0" borderId="19" xfId="0" quotePrefix="1" applyFont="1" applyBorder="1" applyAlignment="1">
      <alignment vertical="center" wrapText="1"/>
    </xf>
    <xf numFmtId="0" fontId="2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41" fontId="0" fillId="0" borderId="0" xfId="1" applyFont="1" applyAlignment="1">
      <alignment horizontal="left" vertical="center"/>
    </xf>
    <xf numFmtId="41" fontId="5" fillId="0" borderId="29" xfId="1" applyFont="1" applyBorder="1" applyAlignment="1">
      <alignment horizontal="center" vertical="center" wrapText="1"/>
    </xf>
    <xf numFmtId="41" fontId="4" fillId="3" borderId="30" xfId="1" applyFont="1" applyFill="1" applyBorder="1" applyAlignment="1">
      <alignment horizontal="left" vertical="center" wrapText="1"/>
    </xf>
    <xf numFmtId="41" fontId="4" fillId="3" borderId="27" xfId="1" applyFont="1" applyFill="1" applyBorder="1" applyAlignment="1">
      <alignment horizontal="left" vertical="center" wrapText="1"/>
    </xf>
    <xf numFmtId="41" fontId="4" fillId="3" borderId="28" xfId="1" applyFont="1" applyFill="1" applyBorder="1" applyAlignment="1">
      <alignment horizontal="left" vertical="center" wrapText="1"/>
    </xf>
    <xf numFmtId="0" fontId="4" fillId="0" borderId="42" xfId="0" applyFont="1" applyBorder="1" applyAlignment="1">
      <alignment horizontal="justify" vertical="top" wrapText="1"/>
    </xf>
    <xf numFmtId="41" fontId="5" fillId="0" borderId="43" xfId="1" applyFont="1" applyBorder="1" applyAlignment="1">
      <alignment horizontal="center" vertical="center" wrapText="1"/>
    </xf>
    <xf numFmtId="0" fontId="4" fillId="0" borderId="45" xfId="0" applyFont="1" applyBorder="1" applyAlignment="1">
      <alignment horizontal="justify" vertical="top" wrapText="1"/>
    </xf>
    <xf numFmtId="0" fontId="4" fillId="3" borderId="46" xfId="0" applyFont="1" applyFill="1" applyBorder="1" applyAlignment="1">
      <alignment horizontal="justify" vertical="top" wrapText="1"/>
    </xf>
    <xf numFmtId="41" fontId="4" fillId="0" borderId="48" xfId="1" applyFont="1" applyBorder="1" applyAlignment="1">
      <alignment horizontal="left" vertical="center" wrapText="1"/>
    </xf>
    <xf numFmtId="41" fontId="4" fillId="0" borderId="49" xfId="1" applyFont="1" applyBorder="1" applyAlignment="1">
      <alignment horizontal="left" vertical="center" wrapText="1"/>
    </xf>
    <xf numFmtId="41" fontId="4" fillId="0" borderId="50" xfId="1" applyFont="1" applyBorder="1" applyAlignment="1">
      <alignment horizontal="left" vertical="center" wrapText="1"/>
    </xf>
    <xf numFmtId="0" fontId="4" fillId="0" borderId="51" xfId="0" applyFont="1" applyBorder="1" applyAlignment="1">
      <alignment horizontal="justify" vertical="top" wrapText="1"/>
    </xf>
    <xf numFmtId="41" fontId="5" fillId="0" borderId="24" xfId="1" applyFont="1" applyBorder="1" applyAlignment="1">
      <alignment horizontal="left" vertical="center" shrinkToFit="1"/>
    </xf>
    <xf numFmtId="41" fontId="5" fillId="0" borderId="15" xfId="1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justify" vertical="center" wrapText="1"/>
    </xf>
    <xf numFmtId="0" fontId="4" fillId="0" borderId="54" xfId="0" applyFont="1" applyBorder="1" applyAlignment="1">
      <alignment horizontal="justify" vertical="center" wrapText="1"/>
    </xf>
    <xf numFmtId="0" fontId="4" fillId="0" borderId="57" xfId="0" applyFont="1" applyBorder="1" applyAlignment="1">
      <alignment horizontal="justify" vertical="center" wrapText="1"/>
    </xf>
    <xf numFmtId="41" fontId="5" fillId="0" borderId="19" xfId="1" applyFont="1" applyBorder="1" applyAlignment="1">
      <alignment horizontal="justify" vertical="center" wrapText="1"/>
    </xf>
    <xf numFmtId="0" fontId="5" fillId="0" borderId="52" xfId="0" applyFont="1" applyBorder="1" applyAlignment="1">
      <alignment horizontal="justify" vertical="center" wrapText="1"/>
    </xf>
    <xf numFmtId="41" fontId="4" fillId="0" borderId="53" xfId="1" applyFont="1" applyFill="1" applyBorder="1" applyAlignment="1">
      <alignment horizontal="left" vertical="center" shrinkToFit="1"/>
    </xf>
    <xf numFmtId="41" fontId="4" fillId="0" borderId="0" xfId="1" applyFont="1" applyFill="1" applyBorder="1" applyAlignment="1">
      <alignment horizontal="justify" vertical="center" wrapText="1"/>
    </xf>
    <xf numFmtId="41" fontId="4" fillId="0" borderId="16" xfId="1" applyFont="1" applyFill="1" applyBorder="1" applyAlignment="1">
      <alignment horizontal="center" vertical="center" shrinkToFit="1"/>
    </xf>
    <xf numFmtId="0" fontId="4" fillId="0" borderId="54" xfId="0" applyFont="1" applyFill="1" applyBorder="1" applyAlignment="1">
      <alignment horizontal="justify" vertical="center" wrapText="1"/>
    </xf>
    <xf numFmtId="41" fontId="4" fillId="0" borderId="55" xfId="1" applyFont="1" applyFill="1" applyBorder="1" applyAlignment="1">
      <alignment horizontal="left" vertical="center" shrinkToFit="1"/>
    </xf>
    <xf numFmtId="41" fontId="4" fillId="0" borderId="56" xfId="1" applyFont="1" applyFill="1" applyBorder="1" applyAlignment="1">
      <alignment horizontal="justify" vertical="center" wrapText="1"/>
    </xf>
    <xf numFmtId="41" fontId="4" fillId="0" borderId="14" xfId="1" applyFont="1" applyFill="1" applyBorder="1" applyAlignment="1">
      <alignment horizontal="center" vertical="center" shrinkToFit="1"/>
    </xf>
    <xf numFmtId="0" fontId="4" fillId="0" borderId="57" xfId="0" applyFont="1" applyFill="1" applyBorder="1" applyAlignment="1">
      <alignment horizontal="justify" vertical="center" wrapText="1"/>
    </xf>
    <xf numFmtId="0" fontId="4" fillId="0" borderId="52" xfId="0" applyFont="1" applyFill="1" applyBorder="1" applyAlignment="1">
      <alignment horizontal="justify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5" xfId="0" quotePrefix="1" applyFont="1" applyBorder="1" applyAlignment="1">
      <alignment vertical="center" wrapText="1"/>
    </xf>
    <xf numFmtId="0" fontId="4" fillId="0" borderId="58" xfId="0" applyFont="1" applyBorder="1" applyAlignment="1">
      <alignment horizontal="justify" vertical="top" wrapText="1"/>
    </xf>
    <xf numFmtId="0" fontId="4" fillId="0" borderId="54" xfId="0" applyFont="1" applyBorder="1" applyAlignment="1">
      <alignment horizontal="justify" vertical="top" wrapText="1"/>
    </xf>
    <xf numFmtId="0" fontId="5" fillId="0" borderId="34" xfId="0" applyFont="1" applyBorder="1" applyAlignment="1">
      <alignment horizontal="right" vertical="center" shrinkToFit="1"/>
    </xf>
    <xf numFmtId="0" fontId="5" fillId="0" borderId="12" xfId="0" quotePrefix="1" applyFont="1" applyBorder="1" applyAlignment="1">
      <alignment horizontal="justify" vertical="center" shrinkToFit="1"/>
    </xf>
    <xf numFmtId="0" fontId="5" fillId="0" borderId="21" xfId="0" applyFont="1" applyBorder="1" applyAlignment="1">
      <alignment horizontal="right" vertical="center" shrinkToFit="1"/>
    </xf>
    <xf numFmtId="0" fontId="5" fillId="0" borderId="29" xfId="0" applyFont="1" applyBorder="1" applyAlignment="1">
      <alignment horizontal="justify" vertical="center" shrinkToFit="1"/>
    </xf>
    <xf numFmtId="0" fontId="5" fillId="0" borderId="40" xfId="0" quotePrefix="1" applyFont="1" applyBorder="1" applyAlignment="1">
      <alignment horizontal="justify" vertical="center" shrinkToFit="1"/>
    </xf>
    <xf numFmtId="0" fontId="5" fillId="0" borderId="35" xfId="0" applyFont="1" applyBorder="1" applyAlignment="1">
      <alignment horizontal="right" vertical="center" shrinkToFit="1"/>
    </xf>
    <xf numFmtId="0" fontId="5" fillId="0" borderId="26" xfId="0" quotePrefix="1" applyFont="1" applyBorder="1" applyAlignment="1">
      <alignment horizontal="justify" vertical="center" shrinkToFit="1"/>
    </xf>
    <xf numFmtId="0" fontId="7" fillId="0" borderId="0" xfId="0" applyFont="1" applyAlignment="1">
      <alignment horizontal="justify" vertical="center" shrinkToFit="1"/>
    </xf>
    <xf numFmtId="0" fontId="2" fillId="0" borderId="0" xfId="0" applyFont="1" applyAlignment="1">
      <alignment vertical="center" shrinkToFit="1"/>
    </xf>
    <xf numFmtId="41" fontId="2" fillId="0" borderId="0" xfId="1" applyFont="1" applyAlignment="1">
      <alignment vertical="center" shrinkToFit="1"/>
    </xf>
    <xf numFmtId="41" fontId="5" fillId="0" borderId="12" xfId="1" applyFont="1" applyBorder="1" applyAlignment="1">
      <alignment vertical="center" shrinkToFit="1"/>
    </xf>
    <xf numFmtId="41" fontId="5" fillId="0" borderId="37" xfId="1" applyFont="1" applyBorder="1" applyAlignment="1">
      <alignment vertical="center" shrinkToFit="1"/>
    </xf>
    <xf numFmtId="41" fontId="5" fillId="0" borderId="29" xfId="1" applyFont="1" applyBorder="1" applyAlignment="1">
      <alignment vertical="center" shrinkToFit="1"/>
    </xf>
    <xf numFmtId="41" fontId="5" fillId="0" borderId="16" xfId="1" applyFont="1" applyBorder="1" applyAlignment="1">
      <alignment vertical="center" shrinkToFit="1"/>
    </xf>
    <xf numFmtId="41" fontId="5" fillId="0" borderId="41" xfId="1" applyFont="1" applyBorder="1" applyAlignment="1">
      <alignment vertical="center" shrinkToFit="1"/>
    </xf>
    <xf numFmtId="41" fontId="5" fillId="0" borderId="47" xfId="1" applyFont="1" applyBorder="1" applyAlignment="1">
      <alignment vertical="center" shrinkToFit="1"/>
    </xf>
    <xf numFmtId="0" fontId="4" fillId="0" borderId="46" xfId="0" applyFont="1" applyBorder="1" applyAlignment="1">
      <alignment horizontal="justify" vertical="top" wrapText="1"/>
    </xf>
    <xf numFmtId="0" fontId="5" fillId="0" borderId="29" xfId="0" quotePrefix="1" applyFont="1" applyBorder="1" applyAlignment="1">
      <alignment horizontal="justify" vertical="center" shrinkToFit="1"/>
    </xf>
    <xf numFmtId="0" fontId="5" fillId="0" borderId="11" xfId="0" quotePrefix="1" applyFont="1" applyBorder="1" applyAlignment="1">
      <alignment horizontal="justify" vertical="center" shrinkToFit="1"/>
    </xf>
    <xf numFmtId="0" fontId="4" fillId="0" borderId="62" xfId="0" applyFont="1" applyBorder="1" applyAlignment="1">
      <alignment horizontal="justify" vertical="center" wrapText="1"/>
    </xf>
    <xf numFmtId="41" fontId="5" fillId="0" borderId="4" xfId="1" applyFont="1" applyBorder="1" applyAlignment="1">
      <alignment horizontal="center" vertical="center" shrinkToFit="1"/>
    </xf>
    <xf numFmtId="41" fontId="5" fillId="0" borderId="2" xfId="1" applyFont="1" applyBorder="1" applyAlignment="1">
      <alignment horizontal="right" vertical="center" shrinkToFit="1"/>
    </xf>
    <xf numFmtId="41" fontId="5" fillId="0" borderId="3" xfId="1" applyFont="1" applyBorder="1" applyAlignment="1">
      <alignment horizontal="right" vertical="center" shrinkToFit="1"/>
    </xf>
    <xf numFmtId="41" fontId="5" fillId="0" borderId="1" xfId="1" applyFont="1" applyBorder="1" applyAlignment="1">
      <alignment horizontal="right" vertical="center" shrinkToFit="1"/>
    </xf>
    <xf numFmtId="0" fontId="5" fillId="0" borderId="64" xfId="0" applyFont="1" applyBorder="1" applyAlignment="1">
      <alignment horizontal="justify" vertical="center" wrapText="1"/>
    </xf>
    <xf numFmtId="0" fontId="5" fillId="0" borderId="62" xfId="0" applyFont="1" applyBorder="1" applyAlignment="1">
      <alignment horizontal="justify" vertical="center" wrapText="1"/>
    </xf>
    <xf numFmtId="41" fontId="9" fillId="0" borderId="53" xfId="1" applyFont="1" applyFill="1" applyBorder="1" applyAlignment="1">
      <alignment horizontal="left" vertical="center" shrinkToFit="1"/>
    </xf>
    <xf numFmtId="41" fontId="9" fillId="0" borderId="0" xfId="1" applyFont="1" applyFill="1" applyBorder="1" applyAlignment="1">
      <alignment horizontal="center" vertical="center" wrapText="1"/>
    </xf>
    <xf numFmtId="41" fontId="9" fillId="0" borderId="16" xfId="1" applyFont="1" applyFill="1" applyBorder="1" applyAlignment="1">
      <alignment horizontal="center" vertical="center" shrinkToFit="1"/>
    </xf>
    <xf numFmtId="0" fontId="9" fillId="0" borderId="54" xfId="0" applyFont="1" applyFill="1" applyBorder="1" applyAlignment="1">
      <alignment horizontal="justify" vertical="center" wrapText="1"/>
    </xf>
    <xf numFmtId="41" fontId="2" fillId="0" borderId="0" xfId="1" applyFont="1" applyAlignment="1">
      <alignment horizontal="right" vertical="center" shrinkToFit="1"/>
    </xf>
    <xf numFmtId="0" fontId="2" fillId="0" borderId="18" xfId="0" applyFont="1" applyBorder="1" applyAlignment="1">
      <alignment vertical="center"/>
    </xf>
    <xf numFmtId="41" fontId="5" fillId="0" borderId="3" xfId="1" applyFont="1" applyBorder="1" applyAlignment="1">
      <alignment horizontal="center" vertical="center" wrapText="1"/>
    </xf>
    <xf numFmtId="41" fontId="5" fillId="0" borderId="3" xfId="1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justify" vertical="center" wrapText="1"/>
    </xf>
    <xf numFmtId="41" fontId="5" fillId="0" borderId="63" xfId="1" applyFont="1" applyFill="1" applyBorder="1" applyAlignment="1">
      <alignment horizontal="left" vertical="center" shrinkToFit="1"/>
    </xf>
    <xf numFmtId="41" fontId="5" fillId="0" borderId="25" xfId="1" applyFont="1" applyFill="1" applyBorder="1" applyAlignment="1">
      <alignment horizontal="center" vertical="center" wrapText="1"/>
    </xf>
    <xf numFmtId="41" fontId="5" fillId="0" borderId="37" xfId="1" applyFont="1" applyFill="1" applyBorder="1" applyAlignment="1">
      <alignment horizontal="center" vertical="center" shrinkToFit="1"/>
    </xf>
    <xf numFmtId="41" fontId="4" fillId="0" borderId="0" xfId="1" applyFont="1" applyFill="1" applyBorder="1" applyAlignment="1">
      <alignment horizontal="left" vertical="center" wrapText="1"/>
    </xf>
    <xf numFmtId="41" fontId="4" fillId="0" borderId="27" xfId="1" applyFont="1" applyFill="1" applyBorder="1" applyAlignment="1">
      <alignment horizontal="left" vertical="center" wrapText="1"/>
    </xf>
    <xf numFmtId="41" fontId="4" fillId="0" borderId="28" xfId="1" applyFont="1" applyFill="1" applyBorder="1" applyAlignment="1">
      <alignment horizontal="left" vertical="center" wrapText="1"/>
    </xf>
    <xf numFmtId="41" fontId="5" fillId="0" borderId="24" xfId="1" applyFont="1" applyFill="1" applyBorder="1" applyAlignment="1">
      <alignment horizontal="left" vertical="center" shrinkToFit="1"/>
    </xf>
    <xf numFmtId="41" fontId="5" fillId="0" borderId="19" xfId="1" applyFont="1" applyFill="1" applyBorder="1" applyAlignment="1">
      <alignment horizontal="center" vertical="center" wrapText="1"/>
    </xf>
    <xf numFmtId="41" fontId="5" fillId="0" borderId="15" xfId="1" applyFont="1" applyFill="1" applyBorder="1" applyAlignment="1">
      <alignment horizontal="center" vertical="center" shrinkToFit="1"/>
    </xf>
    <xf numFmtId="41" fontId="5" fillId="0" borderId="36" xfId="1" applyFont="1" applyFill="1" applyBorder="1" applyAlignment="1">
      <alignment horizontal="left" vertical="center" shrinkToFit="1"/>
    </xf>
    <xf numFmtId="41" fontId="5" fillId="0" borderId="25" xfId="1" applyFont="1" applyFill="1" applyBorder="1" applyAlignment="1">
      <alignment horizontal="left" vertical="center" wrapText="1"/>
    </xf>
    <xf numFmtId="41" fontId="5" fillId="0" borderId="26" xfId="1" applyFont="1" applyFill="1" applyBorder="1" applyAlignment="1">
      <alignment horizontal="left" vertical="center" wrapText="1"/>
    </xf>
    <xf numFmtId="41" fontId="4" fillId="0" borderId="38" xfId="1" applyFont="1" applyFill="1" applyBorder="1" applyAlignment="1">
      <alignment horizontal="left" vertical="center" shrinkToFit="1"/>
    </xf>
    <xf numFmtId="41" fontId="4" fillId="0" borderId="40" xfId="1" applyFont="1" applyFill="1" applyBorder="1" applyAlignment="1">
      <alignment horizontal="left" vertical="center" wrapText="1"/>
    </xf>
    <xf numFmtId="41" fontId="4" fillId="0" borderId="30" xfId="1" applyFont="1" applyFill="1" applyBorder="1" applyAlignment="1">
      <alignment horizontal="left" vertical="center" shrinkToFit="1"/>
    </xf>
    <xf numFmtId="41" fontId="5" fillId="0" borderId="19" xfId="1" applyFont="1" applyFill="1" applyBorder="1" applyAlignment="1">
      <alignment horizontal="justify" vertical="center" wrapText="1"/>
    </xf>
    <xf numFmtId="41" fontId="5" fillId="0" borderId="53" xfId="1" applyFont="1" applyFill="1" applyBorder="1" applyAlignment="1">
      <alignment horizontal="left" vertical="center" shrinkToFit="1"/>
    </xf>
    <xf numFmtId="41" fontId="5" fillId="0" borderId="0" xfId="1" applyFont="1" applyFill="1" applyBorder="1" applyAlignment="1">
      <alignment horizontal="justify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41" fontId="5" fillId="0" borderId="3" xfId="1" applyFont="1" applyFill="1" applyBorder="1" applyAlignment="1">
      <alignment horizontal="justify" vertical="center" wrapText="1"/>
    </xf>
    <xf numFmtId="41" fontId="5" fillId="0" borderId="3" xfId="1" applyFont="1" applyFill="1" applyBorder="1" applyAlignment="1">
      <alignment horizontal="right" vertical="center" shrinkToFit="1"/>
    </xf>
    <xf numFmtId="0" fontId="5" fillId="0" borderId="18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41" fontId="5" fillId="0" borderId="2" xfId="1" applyFont="1" applyFill="1" applyBorder="1" applyAlignment="1">
      <alignment horizontal="justify" vertical="center" wrapText="1"/>
    </xf>
    <xf numFmtId="41" fontId="5" fillId="0" borderId="2" xfId="1" applyFont="1" applyFill="1" applyBorder="1" applyAlignment="1">
      <alignment horizontal="right" vertical="center" shrinkToFit="1"/>
    </xf>
    <xf numFmtId="0" fontId="5" fillId="0" borderId="21" xfId="0" applyFont="1" applyFill="1" applyBorder="1" applyAlignment="1">
      <alignment horizontal="right" vertical="center" shrinkToFit="1"/>
    </xf>
    <xf numFmtId="0" fontId="0" fillId="0" borderId="0" xfId="0" applyFill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52" xfId="0" applyFont="1" applyFill="1" applyBorder="1" applyAlignment="1">
      <alignment horizontal="justify" vertical="center" wrapText="1"/>
    </xf>
    <xf numFmtId="41" fontId="5" fillId="0" borderId="53" xfId="1" applyFont="1" applyBorder="1" applyAlignment="1">
      <alignment horizontal="right" vertical="center" shrinkToFit="1"/>
    </xf>
    <xf numFmtId="41" fontId="5" fillId="0" borderId="53" xfId="1" applyFont="1" applyFill="1" applyBorder="1" applyAlignment="1">
      <alignment horizontal="right" vertical="center" shrinkToFit="1"/>
    </xf>
    <xf numFmtId="41" fontId="5" fillId="0" borderId="30" xfId="1" applyFont="1" applyFill="1" applyBorder="1" applyAlignment="1">
      <alignment horizontal="left" vertical="center" shrinkToFit="1"/>
    </xf>
    <xf numFmtId="0" fontId="4" fillId="0" borderId="70" xfId="0" applyFont="1" applyFill="1" applyBorder="1" applyAlignment="1">
      <alignment horizontal="justify" vertical="center" wrapText="1"/>
    </xf>
    <xf numFmtId="0" fontId="5" fillId="0" borderId="40" xfId="0" quotePrefix="1" applyFont="1" applyFill="1" applyBorder="1" applyAlignment="1">
      <alignment horizontal="justify" vertical="center" shrinkToFit="1"/>
    </xf>
    <xf numFmtId="41" fontId="5" fillId="0" borderId="29" xfId="1" applyFont="1" applyFill="1" applyBorder="1" applyAlignment="1">
      <alignment vertical="center" shrinkToFit="1"/>
    </xf>
    <xf numFmtId="0" fontId="4" fillId="0" borderId="54" xfId="0" applyFont="1" applyFill="1" applyBorder="1" applyAlignment="1">
      <alignment horizontal="justify" vertical="top" wrapText="1"/>
    </xf>
    <xf numFmtId="0" fontId="4" fillId="0" borderId="59" xfId="0" applyFont="1" applyFill="1" applyBorder="1" applyAlignment="1">
      <alignment horizontal="justify" vertical="top" wrapText="1"/>
    </xf>
    <xf numFmtId="0" fontId="4" fillId="0" borderId="58" xfId="0" applyFont="1" applyFill="1" applyBorder="1" applyAlignment="1">
      <alignment horizontal="justify" vertical="top" wrapText="1"/>
    </xf>
    <xf numFmtId="0" fontId="5" fillId="0" borderId="15" xfId="0" quotePrefix="1" applyFont="1" applyBorder="1" applyAlignment="1">
      <alignment horizontal="left" vertical="top" shrinkToFit="1"/>
    </xf>
    <xf numFmtId="176" fontId="5" fillId="0" borderId="16" xfId="1" applyNumberFormat="1" applyFont="1" applyFill="1" applyBorder="1" applyAlignment="1">
      <alignment horizontal="right" vertical="center" shrinkToFit="1"/>
    </xf>
    <xf numFmtId="0" fontId="2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0" xfId="0" quotePrefix="1" applyFont="1" applyBorder="1" applyAlignment="1">
      <alignment vertical="center" wrapText="1"/>
    </xf>
    <xf numFmtId="0" fontId="5" fillId="0" borderId="71" xfId="0" quotePrefix="1" applyFont="1" applyBorder="1" applyAlignment="1">
      <alignment vertical="center" wrapText="1"/>
    </xf>
    <xf numFmtId="177" fontId="5" fillId="0" borderId="2" xfId="1" applyNumberFormat="1" applyFont="1" applyBorder="1" applyAlignment="1">
      <alignment horizontal="right" vertical="center" wrapText="1"/>
    </xf>
    <xf numFmtId="41" fontId="5" fillId="0" borderId="44" xfId="1" applyFont="1" applyBorder="1" applyAlignment="1">
      <alignment horizontal="center" vertical="center" wrapText="1"/>
    </xf>
    <xf numFmtId="41" fontId="5" fillId="0" borderId="12" xfId="1" applyFont="1" applyBorder="1" applyAlignment="1">
      <alignment horizontal="justify" vertical="center" shrinkToFit="1"/>
    </xf>
    <xf numFmtId="41" fontId="5" fillId="0" borderId="29" xfId="1" applyFont="1" applyBorder="1" applyAlignment="1">
      <alignment horizontal="justify" vertical="center" shrinkToFit="1"/>
    </xf>
    <xf numFmtId="41" fontId="5" fillId="0" borderId="29" xfId="1" applyFont="1" applyFill="1" applyBorder="1" applyAlignment="1">
      <alignment horizontal="justify" vertical="center" shrinkToFit="1"/>
    </xf>
    <xf numFmtId="41" fontId="5" fillId="0" borderId="47" xfId="1" applyFont="1" applyBorder="1" applyAlignment="1">
      <alignment horizontal="justify" vertical="center" shrinkToFit="1"/>
    </xf>
    <xf numFmtId="41" fontId="4" fillId="0" borderId="0" xfId="1" applyFont="1" applyFill="1" applyBorder="1" applyAlignment="1">
      <alignment horizontal="left" vertical="center" shrinkToFit="1"/>
    </xf>
    <xf numFmtId="41" fontId="4" fillId="3" borderId="0" xfId="1" applyFont="1" applyFill="1" applyBorder="1" applyAlignment="1">
      <alignment horizontal="left" vertical="center" wrapText="1"/>
    </xf>
    <xf numFmtId="0" fontId="4" fillId="3" borderId="45" xfId="0" applyFont="1" applyFill="1" applyBorder="1" applyAlignment="1">
      <alignment horizontal="justify" vertical="top" wrapText="1"/>
    </xf>
    <xf numFmtId="41" fontId="5" fillId="3" borderId="43" xfId="1" applyFont="1" applyFill="1" applyBorder="1" applyAlignment="1">
      <alignment horizontal="justify" vertical="center" shrinkToFit="1"/>
    </xf>
    <xf numFmtId="41" fontId="5" fillId="3" borderId="43" xfId="1" applyFont="1" applyFill="1" applyBorder="1" applyAlignment="1">
      <alignment vertical="center" shrinkToFit="1"/>
    </xf>
    <xf numFmtId="41" fontId="4" fillId="3" borderId="73" xfId="1" applyFont="1" applyFill="1" applyBorder="1" applyAlignment="1">
      <alignment horizontal="left" vertical="center" wrapText="1"/>
    </xf>
    <xf numFmtId="41" fontId="4" fillId="3" borderId="60" xfId="1" applyFont="1" applyFill="1" applyBorder="1" applyAlignment="1">
      <alignment horizontal="left" vertical="center" wrapText="1"/>
    </xf>
    <xf numFmtId="41" fontId="4" fillId="3" borderId="61" xfId="1" applyFont="1" applyFill="1" applyBorder="1" applyAlignment="1">
      <alignment horizontal="left" vertical="center" wrapText="1"/>
    </xf>
    <xf numFmtId="0" fontId="4" fillId="3" borderId="74" xfId="0" applyFont="1" applyFill="1" applyBorder="1" applyAlignment="1">
      <alignment horizontal="justify" vertical="top" wrapText="1"/>
    </xf>
    <xf numFmtId="0" fontId="5" fillId="3" borderId="75" xfId="0" applyFont="1" applyFill="1" applyBorder="1" applyAlignment="1">
      <alignment horizontal="justify" vertical="center" shrinkToFit="1"/>
    </xf>
    <xf numFmtId="0" fontId="5" fillId="3" borderId="28" xfId="0" applyFont="1" applyFill="1" applyBorder="1" applyAlignment="1">
      <alignment horizontal="justify" vertical="center" shrinkToFit="1"/>
    </xf>
    <xf numFmtId="41" fontId="4" fillId="0" borderId="25" xfId="1" applyFont="1" applyFill="1" applyBorder="1" applyAlignment="1">
      <alignment horizontal="left" vertical="center" wrapText="1"/>
    </xf>
    <xf numFmtId="41" fontId="5" fillId="0" borderId="27" xfId="1" applyFont="1" applyFill="1" applyBorder="1" applyAlignment="1">
      <alignment horizontal="left" vertical="center" shrinkToFit="1"/>
    </xf>
    <xf numFmtId="0" fontId="4" fillId="0" borderId="59" xfId="0" applyFont="1" applyBorder="1" applyAlignment="1">
      <alignment horizontal="justify" vertical="top" wrapText="1"/>
    </xf>
    <xf numFmtId="41" fontId="5" fillId="0" borderId="36" xfId="1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justify" vertical="top" wrapText="1"/>
    </xf>
    <xf numFmtId="0" fontId="10" fillId="0" borderId="40" xfId="0" quotePrefix="1" applyFont="1" applyFill="1" applyBorder="1" applyAlignment="1">
      <alignment horizontal="justify" vertical="center" shrinkToFit="1"/>
    </xf>
    <xf numFmtId="0" fontId="4" fillId="0" borderId="45" xfId="0" applyFont="1" applyFill="1" applyBorder="1" applyAlignment="1">
      <alignment horizontal="justify" vertical="top" wrapText="1"/>
    </xf>
    <xf numFmtId="0" fontId="10" fillId="0" borderId="12" xfId="0" quotePrefix="1" applyFont="1" applyFill="1" applyBorder="1" applyAlignment="1">
      <alignment horizontal="justify" vertical="center" shrinkToFit="1"/>
    </xf>
    <xf numFmtId="0" fontId="10" fillId="0" borderId="11" xfId="0" quotePrefix="1" applyFont="1" applyFill="1" applyBorder="1" applyAlignment="1">
      <alignment horizontal="justify" vertical="center" shrinkToFit="1"/>
    </xf>
    <xf numFmtId="0" fontId="4" fillId="0" borderId="46" xfId="0" applyFont="1" applyFill="1" applyBorder="1" applyAlignment="1">
      <alignment horizontal="justify" vertical="top" wrapText="1"/>
    </xf>
    <xf numFmtId="0" fontId="5" fillId="0" borderId="12" xfId="0" quotePrefix="1" applyFont="1" applyFill="1" applyBorder="1" applyAlignment="1">
      <alignment horizontal="justify" vertical="center" shrinkToFit="1"/>
    </xf>
    <xf numFmtId="0" fontId="5" fillId="0" borderId="11" xfId="0" quotePrefix="1" applyFont="1" applyFill="1" applyBorder="1" applyAlignment="1">
      <alignment horizontal="justify" vertical="center" shrinkToFit="1"/>
    </xf>
    <xf numFmtId="0" fontId="5" fillId="0" borderId="50" xfId="0" quotePrefix="1" applyFont="1" applyBorder="1" applyAlignment="1">
      <alignment horizontal="justify" vertical="center" shrinkToFit="1"/>
    </xf>
    <xf numFmtId="0" fontId="4" fillId="0" borderId="76" xfId="0" applyFont="1" applyBorder="1" applyAlignment="1">
      <alignment horizontal="justify" vertical="top" wrapText="1"/>
    </xf>
    <xf numFmtId="0" fontId="4" fillId="3" borderId="59" xfId="0" applyFont="1" applyFill="1" applyBorder="1" applyAlignment="1">
      <alignment horizontal="justify" vertical="top" wrapText="1"/>
    </xf>
    <xf numFmtId="41" fontId="5" fillId="0" borderId="38" xfId="1" applyFont="1" applyFill="1" applyBorder="1" applyAlignment="1">
      <alignment horizontal="left" vertical="center" shrinkToFit="1"/>
    </xf>
    <xf numFmtId="0" fontId="10" fillId="0" borderId="28" xfId="0" quotePrefix="1" applyFont="1" applyBorder="1" applyAlignment="1">
      <alignment horizontal="justify" vertical="center" shrinkToFit="1"/>
    </xf>
    <xf numFmtId="41" fontId="4" fillId="0" borderId="38" xfId="1" applyFont="1" applyFill="1" applyBorder="1" applyAlignment="1">
      <alignment horizontal="left" vertical="center" wrapText="1"/>
    </xf>
    <xf numFmtId="41" fontId="5" fillId="0" borderId="36" xfId="1" applyFont="1" applyBorder="1" applyAlignment="1">
      <alignment horizontal="left" vertical="center" shrinkToFit="1"/>
    </xf>
    <xf numFmtId="41" fontId="4" fillId="0" borderId="25" xfId="1" applyFont="1" applyBorder="1" applyAlignment="1">
      <alignment horizontal="left" vertical="center" wrapText="1"/>
    </xf>
    <xf numFmtId="41" fontId="4" fillId="0" borderId="0" xfId="1" applyFont="1" applyBorder="1" applyAlignment="1">
      <alignment horizontal="left" vertical="center" wrapText="1"/>
    </xf>
    <xf numFmtId="41" fontId="5" fillId="0" borderId="38" xfId="1" applyFont="1" applyBorder="1" applyAlignment="1">
      <alignment horizontal="left" vertical="center" shrinkToFit="1"/>
    </xf>
    <xf numFmtId="41" fontId="4" fillId="0" borderId="40" xfId="1" applyFont="1" applyBorder="1" applyAlignment="1">
      <alignment horizontal="left" vertical="center" wrapText="1"/>
    </xf>
    <xf numFmtId="41" fontId="5" fillId="0" borderId="43" xfId="1" applyFont="1" applyBorder="1" applyAlignment="1">
      <alignment horizontal="justify" vertical="center" shrinkToFit="1"/>
    </xf>
    <xf numFmtId="41" fontId="5" fillId="0" borderId="43" xfId="1" applyFont="1" applyBorder="1" applyAlignment="1">
      <alignment vertical="center" shrinkToFit="1"/>
    </xf>
    <xf numFmtId="0" fontId="4" fillId="0" borderId="74" xfId="0" applyFont="1" applyBorder="1" applyAlignment="1">
      <alignment horizontal="justify" vertical="top" wrapText="1"/>
    </xf>
    <xf numFmtId="0" fontId="5" fillId="0" borderId="50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41" fontId="4" fillId="0" borderId="61" xfId="1" applyFont="1" applyBorder="1" applyAlignment="1">
      <alignment horizontal="left" vertical="center" wrapText="1"/>
    </xf>
    <xf numFmtId="41" fontId="4" fillId="0" borderId="73" xfId="1" applyFont="1" applyBorder="1" applyAlignment="1">
      <alignment horizontal="left" vertical="center" wrapText="1"/>
    </xf>
    <xf numFmtId="41" fontId="4" fillId="0" borderId="60" xfId="1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41" fontId="4" fillId="3" borderId="53" xfId="1" applyFont="1" applyFill="1" applyBorder="1" applyAlignment="1">
      <alignment horizontal="left" vertical="center" shrinkToFit="1"/>
    </xf>
    <xf numFmtId="41" fontId="4" fillId="3" borderId="0" xfId="1" applyFont="1" applyFill="1" applyBorder="1" applyAlignment="1">
      <alignment horizontal="justify" vertical="center" wrapText="1"/>
    </xf>
    <xf numFmtId="41" fontId="4" fillId="3" borderId="16" xfId="1" applyFont="1" applyFill="1" applyBorder="1" applyAlignment="1">
      <alignment horizontal="center" vertical="center" shrinkToFit="1"/>
    </xf>
    <xf numFmtId="0" fontId="4" fillId="3" borderId="54" xfId="0" applyFont="1" applyFill="1" applyBorder="1" applyAlignment="1">
      <alignment horizontal="justify" vertical="center" wrapText="1"/>
    </xf>
    <xf numFmtId="41" fontId="5" fillId="3" borderId="4" xfId="1" applyFont="1" applyFill="1" applyBorder="1" applyAlignment="1">
      <alignment horizontal="justify" vertical="center" wrapText="1"/>
    </xf>
    <xf numFmtId="41" fontId="5" fillId="3" borderId="4" xfId="1" applyFont="1" applyFill="1" applyBorder="1" applyAlignment="1">
      <alignment horizontal="right" vertical="center" shrinkToFit="1"/>
    </xf>
    <xf numFmtId="41" fontId="4" fillId="3" borderId="78" xfId="1" applyFont="1" applyFill="1" applyBorder="1" applyAlignment="1">
      <alignment horizontal="left" vertical="center" shrinkToFit="1"/>
    </xf>
    <xf numFmtId="41" fontId="4" fillId="3" borderId="60" xfId="1" applyFont="1" applyFill="1" applyBorder="1" applyAlignment="1">
      <alignment horizontal="justify" vertical="center" wrapText="1"/>
    </xf>
    <xf numFmtId="41" fontId="4" fillId="3" borderId="13" xfId="1" applyFont="1" applyFill="1" applyBorder="1" applyAlignment="1">
      <alignment horizontal="center" vertical="center" shrinkToFit="1"/>
    </xf>
    <xf numFmtId="0" fontId="4" fillId="3" borderId="79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177" fontId="5" fillId="3" borderId="4" xfId="1" applyNumberFormat="1" applyFont="1" applyFill="1" applyBorder="1" applyAlignment="1">
      <alignment horizontal="right" vertical="center" wrapText="1"/>
    </xf>
    <xf numFmtId="176" fontId="5" fillId="0" borderId="15" xfId="1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54" xfId="0" applyFont="1" applyFill="1" applyBorder="1" applyAlignment="1">
      <alignment horizontal="justify" vertical="center" wrapText="1"/>
    </xf>
    <xf numFmtId="0" fontId="5" fillId="0" borderId="71" xfId="0" applyFont="1" applyFill="1" applyBorder="1" applyAlignment="1">
      <alignment vertical="center" shrinkToFit="1"/>
    </xf>
    <xf numFmtId="0" fontId="5" fillId="3" borderId="14" xfId="0" applyFont="1" applyFill="1" applyBorder="1" applyAlignment="1">
      <alignment horizontal="center" vertical="center" wrapText="1"/>
    </xf>
    <xf numFmtId="41" fontId="4" fillId="3" borderId="55" xfId="1" applyFont="1" applyFill="1" applyBorder="1" applyAlignment="1">
      <alignment horizontal="left" vertical="center" shrinkToFit="1"/>
    </xf>
    <xf numFmtId="41" fontId="4" fillId="3" borderId="56" xfId="1" applyFont="1" applyFill="1" applyBorder="1" applyAlignment="1">
      <alignment horizontal="justify" vertical="center" wrapText="1"/>
    </xf>
    <xf numFmtId="41" fontId="4" fillId="3" borderId="14" xfId="1" applyFont="1" applyFill="1" applyBorder="1" applyAlignment="1">
      <alignment horizontal="center" vertical="center" shrinkToFit="1"/>
    </xf>
    <xf numFmtId="0" fontId="4" fillId="3" borderId="57" xfId="0" applyFont="1" applyFill="1" applyBorder="1" applyAlignment="1">
      <alignment horizontal="justify" vertical="center" wrapText="1"/>
    </xf>
    <xf numFmtId="41" fontId="4" fillId="0" borderId="19" xfId="1" applyFont="1" applyBorder="1" applyAlignment="1">
      <alignment horizontal="justify" vertical="center" wrapText="1"/>
    </xf>
    <xf numFmtId="0" fontId="5" fillId="0" borderId="15" xfId="1" applyNumberFormat="1" applyFont="1" applyBorder="1" applyAlignment="1">
      <alignment horizontal="right" vertical="center" shrinkToFit="1"/>
    </xf>
    <xf numFmtId="0" fontId="5" fillId="0" borderId="80" xfId="0" quotePrefix="1" applyFont="1" applyBorder="1" applyAlignment="1">
      <alignment horizontal="left" vertical="center" wrapText="1"/>
    </xf>
    <xf numFmtId="41" fontId="5" fillId="0" borderId="55" xfId="1" applyFont="1" applyBorder="1" applyAlignment="1">
      <alignment horizontal="left" vertical="center" shrinkToFit="1"/>
    </xf>
    <xf numFmtId="41" fontId="4" fillId="0" borderId="56" xfId="1" applyFont="1" applyBorder="1" applyAlignment="1">
      <alignment horizontal="justify" vertical="center" wrapText="1"/>
    </xf>
    <xf numFmtId="0" fontId="5" fillId="0" borderId="14" xfId="1" applyNumberFormat="1" applyFont="1" applyBorder="1" applyAlignment="1">
      <alignment horizontal="right" vertical="center" shrinkToFit="1"/>
    </xf>
    <xf numFmtId="0" fontId="5" fillId="0" borderId="81" xfId="0" quotePrefix="1" applyFont="1" applyBorder="1" applyAlignment="1">
      <alignment horizontal="left" vertical="center" wrapText="1"/>
    </xf>
    <xf numFmtId="0" fontId="5" fillId="0" borderId="81" xfId="0" quotePrefix="1" applyFont="1" applyBorder="1" applyAlignment="1">
      <alignment horizontal="left" vertical="center" shrinkToFit="1"/>
    </xf>
    <xf numFmtId="0" fontId="5" fillId="0" borderId="80" xfId="0" quotePrefix="1" applyFont="1" applyBorder="1" applyAlignment="1">
      <alignment horizontal="left" vertical="center" shrinkToFit="1"/>
    </xf>
    <xf numFmtId="0" fontId="4" fillId="0" borderId="74" xfId="0" applyFont="1" applyBorder="1" applyAlignment="1">
      <alignment horizontal="justify" vertical="center" wrapText="1"/>
    </xf>
    <xf numFmtId="0" fontId="0" fillId="0" borderId="51" xfId="0" applyBorder="1" applyAlignment="1">
      <alignment vertical="center"/>
    </xf>
    <xf numFmtId="41" fontId="4" fillId="0" borderId="61" xfId="1" applyFont="1" applyBorder="1" applyAlignment="1">
      <alignment horizontal="center" vertical="center" shrinkToFit="1"/>
    </xf>
    <xf numFmtId="41" fontId="0" fillId="0" borderId="50" xfId="1" applyFont="1" applyBorder="1" applyAlignment="1">
      <alignment horizontal="center" vertical="center" shrinkToFit="1"/>
    </xf>
    <xf numFmtId="41" fontId="4" fillId="0" borderId="73" xfId="1" applyFont="1" applyBorder="1" applyAlignment="1">
      <alignment horizontal="left" vertical="center" shrinkToFit="1"/>
    </xf>
    <xf numFmtId="41" fontId="4" fillId="0" borderId="60" xfId="1" applyFont="1" applyBorder="1" applyAlignment="1">
      <alignment horizontal="justify" vertical="center" wrapText="1"/>
    </xf>
    <xf numFmtId="41" fontId="0" fillId="0" borderId="48" xfId="1" applyFont="1" applyBorder="1" applyAlignment="1">
      <alignment horizontal="left" vertical="center" shrinkToFit="1"/>
    </xf>
    <xf numFmtId="41" fontId="0" fillId="0" borderId="49" xfId="1" applyFont="1" applyBorder="1" applyAlignment="1">
      <alignment vertical="center"/>
    </xf>
    <xf numFmtId="0" fontId="2" fillId="0" borderId="77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1" fontId="5" fillId="0" borderId="12" xfId="1" applyNumberFormat="1" applyFont="1" applyFill="1" applyBorder="1" applyAlignment="1">
      <alignment horizontal="right" vertical="center" shrinkToFit="1"/>
    </xf>
    <xf numFmtId="0" fontId="10" fillId="0" borderId="29" xfId="0" quotePrefix="1" applyFont="1" applyBorder="1" applyAlignment="1">
      <alignment horizontal="justify" vertical="center" shrinkToFit="1"/>
    </xf>
    <xf numFmtId="1" fontId="5" fillId="3" borderId="43" xfId="1" applyNumberFormat="1" applyFont="1" applyFill="1" applyBorder="1" applyAlignment="1">
      <alignment horizontal="right" vertical="center" shrinkToFit="1"/>
    </xf>
    <xf numFmtId="49" fontId="5" fillId="3" borderId="3" xfId="1" applyNumberFormat="1" applyFont="1" applyFill="1" applyBorder="1" applyAlignment="1">
      <alignment horizontal="justify" vertical="center" wrapText="1"/>
    </xf>
    <xf numFmtId="49" fontId="5" fillId="3" borderId="3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justify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right" vertical="center" wrapText="1"/>
    </xf>
    <xf numFmtId="49" fontId="5" fillId="3" borderId="3" xfId="1" applyNumberFormat="1" applyFont="1" applyFill="1" applyBorder="1" applyAlignment="1">
      <alignment horizontal="right" vertical="center" wrapText="1"/>
    </xf>
    <xf numFmtId="49" fontId="5" fillId="0" borderId="65" xfId="1" applyNumberFormat="1" applyFont="1" applyBorder="1" applyAlignment="1">
      <alignment horizontal="center" vertical="center" wrapText="1"/>
    </xf>
    <xf numFmtId="0" fontId="5" fillId="0" borderId="67" xfId="0" quotePrefix="1" applyFont="1" applyBorder="1" applyAlignment="1">
      <alignment horizontal="left" vertical="center" wrapText="1"/>
    </xf>
    <xf numFmtId="49" fontId="5" fillId="0" borderId="65" xfId="1" applyNumberFormat="1" applyFont="1" applyBorder="1" applyAlignment="1">
      <alignment horizontal="right" vertical="center" wrapText="1"/>
    </xf>
    <xf numFmtId="41" fontId="5" fillId="0" borderId="66" xfId="1" applyFont="1" applyBorder="1" applyAlignment="1">
      <alignment horizontal="left" vertical="center" shrinkToFit="1"/>
    </xf>
    <xf numFmtId="41" fontId="4" fillId="0" borderId="49" xfId="1" applyFont="1" applyBorder="1" applyAlignment="1">
      <alignment horizontal="justify" vertical="center" wrapText="1"/>
    </xf>
    <xf numFmtId="0" fontId="5" fillId="0" borderId="67" xfId="1" applyNumberFormat="1" applyFont="1" applyBorder="1" applyAlignment="1">
      <alignment horizontal="right" vertical="center" shrinkToFit="1"/>
    </xf>
    <xf numFmtId="41" fontId="5" fillId="0" borderId="3" xfId="1" applyFont="1" applyBorder="1" applyAlignment="1">
      <alignment horizontal="right" vertical="center" wrapText="1"/>
    </xf>
    <xf numFmtId="177" fontId="5" fillId="0" borderId="43" xfId="1" applyNumberFormat="1" applyFont="1" applyBorder="1" applyAlignment="1">
      <alignment horizontal="right" vertical="center" wrapText="1"/>
    </xf>
    <xf numFmtId="49" fontId="11" fillId="0" borderId="47" xfId="1" applyNumberFormat="1" applyFont="1" applyBorder="1" applyAlignment="1">
      <alignment horizontal="center" vertical="center"/>
    </xf>
    <xf numFmtId="49" fontId="11" fillId="0" borderId="47" xfId="1" applyNumberFormat="1" applyFont="1" applyBorder="1" applyAlignment="1">
      <alignment horizontal="right" vertical="center"/>
    </xf>
    <xf numFmtId="0" fontId="13" fillId="0" borderId="17" xfId="0" applyFont="1" applyBorder="1">
      <alignment vertical="center"/>
    </xf>
    <xf numFmtId="0" fontId="14" fillId="0" borderId="60" xfId="0" applyFont="1" applyBorder="1">
      <alignment vertical="center"/>
    </xf>
    <xf numFmtId="0" fontId="14" fillId="0" borderId="79" xfId="0" applyFont="1" applyBorder="1">
      <alignment vertical="center"/>
    </xf>
    <xf numFmtId="0" fontId="13" fillId="0" borderId="18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54" xfId="0" applyFont="1" applyBorder="1">
      <alignment vertical="center"/>
    </xf>
    <xf numFmtId="0" fontId="18" fillId="0" borderId="1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18" fillId="0" borderId="54" xfId="0" applyFont="1" applyBorder="1" applyAlignment="1">
      <alignment horizontal="centerContinuous" vertical="center"/>
    </xf>
    <xf numFmtId="0" fontId="14" fillId="0" borderId="18" xfId="0" applyFont="1" applyBorder="1">
      <alignment vertical="center"/>
    </xf>
    <xf numFmtId="0" fontId="14" fillId="0" borderId="77" xfId="0" applyFont="1" applyBorder="1">
      <alignment vertical="center"/>
    </xf>
    <xf numFmtId="0" fontId="14" fillId="0" borderId="49" xfId="0" applyFont="1" applyBorder="1">
      <alignment vertical="center"/>
    </xf>
    <xf numFmtId="0" fontId="14" fillId="0" borderId="68" xfId="0" applyFont="1" applyBorder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21" fillId="0" borderId="18" xfId="0" applyFont="1" applyBorder="1">
      <alignment vertical="center"/>
    </xf>
    <xf numFmtId="0" fontId="21" fillId="0" borderId="0" xfId="0" applyFont="1" applyBorder="1">
      <alignment vertical="center"/>
    </xf>
    <xf numFmtId="0" fontId="20" fillId="0" borderId="0" xfId="0" applyFont="1" applyBorder="1">
      <alignment vertical="center"/>
    </xf>
    <xf numFmtId="0" fontId="20" fillId="0" borderId="54" xfId="0" applyFont="1" applyBorder="1">
      <alignment vertical="center"/>
    </xf>
    <xf numFmtId="41" fontId="21" fillId="0" borderId="0" xfId="0" applyNumberFormat="1" applyFont="1" applyBorder="1">
      <alignment vertical="center"/>
    </xf>
    <xf numFmtId="0" fontId="21" fillId="0" borderId="54" xfId="0" applyFont="1" applyBorder="1">
      <alignment vertical="center"/>
    </xf>
    <xf numFmtId="0" fontId="21" fillId="0" borderId="77" xfId="0" applyFont="1" applyBorder="1">
      <alignment vertical="center"/>
    </xf>
    <xf numFmtId="0" fontId="21" fillId="0" borderId="49" xfId="0" applyFont="1" applyBorder="1">
      <alignment vertical="center"/>
    </xf>
    <xf numFmtId="0" fontId="21" fillId="0" borderId="68" xfId="0" applyFont="1" applyBorder="1">
      <alignment vertical="center"/>
    </xf>
    <xf numFmtId="41" fontId="5" fillId="0" borderId="25" xfId="1" applyFont="1" applyFill="1" applyBorder="1" applyAlignment="1">
      <alignment horizontal="left" vertical="center" shrinkToFit="1"/>
    </xf>
    <xf numFmtId="0" fontId="5" fillId="0" borderId="23" xfId="0" applyFont="1" applyFill="1" applyBorder="1" applyAlignment="1">
      <alignment horizontal="left" vertical="center" wrapText="1"/>
    </xf>
    <xf numFmtId="41" fontId="4" fillId="0" borderId="0" xfId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top" wrapText="1"/>
    </xf>
    <xf numFmtId="41" fontId="4" fillId="0" borderId="56" xfId="1" applyFont="1" applyFill="1" applyBorder="1" applyAlignment="1">
      <alignment horizontal="center" vertical="center" wrapText="1"/>
    </xf>
    <xf numFmtId="41" fontId="4" fillId="0" borderId="19" xfId="1" applyFont="1" applyFill="1" applyBorder="1" applyAlignment="1">
      <alignment horizontal="justify" vertical="center" wrapText="1"/>
    </xf>
    <xf numFmtId="41" fontId="4" fillId="0" borderId="69" xfId="1" applyFont="1" applyFill="1" applyBorder="1" applyAlignment="1">
      <alignment horizontal="left" vertical="center" shrinkToFit="1"/>
    </xf>
    <xf numFmtId="41" fontId="4" fillId="0" borderId="27" xfId="1" applyFont="1" applyFill="1" applyBorder="1" applyAlignment="1">
      <alignment horizontal="justify" vertical="center" wrapText="1"/>
    </xf>
    <xf numFmtId="41" fontId="4" fillId="0" borderId="39" xfId="1" applyFont="1" applyFill="1" applyBorder="1" applyAlignment="1">
      <alignment horizontal="center" vertical="center" shrinkToFit="1"/>
    </xf>
    <xf numFmtId="41" fontId="5" fillId="0" borderId="25" xfId="1" applyFont="1" applyFill="1" applyBorder="1" applyAlignment="1">
      <alignment horizontal="justify" vertical="center" wrapText="1"/>
    </xf>
    <xf numFmtId="41" fontId="4" fillId="0" borderId="28" xfId="1" applyFont="1" applyFill="1" applyBorder="1" applyAlignment="1">
      <alignment horizontal="center" vertical="center" shrinkToFit="1"/>
    </xf>
    <xf numFmtId="41" fontId="5" fillId="0" borderId="27" xfId="1" applyFont="1" applyFill="1" applyBorder="1" applyAlignment="1">
      <alignment horizontal="justify" vertical="center" wrapText="1"/>
    </xf>
    <xf numFmtId="41" fontId="5" fillId="0" borderId="13" xfId="1" applyFont="1" applyBorder="1" applyAlignment="1">
      <alignment vertical="center" shrinkToFit="1"/>
    </xf>
    <xf numFmtId="41" fontId="5" fillId="0" borderId="16" xfId="1" applyFont="1" applyFill="1" applyBorder="1" applyAlignment="1">
      <alignment horizontal="center" vertical="center" shrinkToFit="1"/>
    </xf>
    <xf numFmtId="0" fontId="5" fillId="0" borderId="16" xfId="0" quotePrefix="1" applyFont="1" applyBorder="1" applyAlignment="1">
      <alignment vertical="center" wrapText="1"/>
    </xf>
    <xf numFmtId="41" fontId="5" fillId="0" borderId="82" xfId="1" applyFont="1" applyFill="1" applyBorder="1" applyAlignment="1">
      <alignment horizontal="left" vertical="center" shrinkToFit="1"/>
    </xf>
    <xf numFmtId="41" fontId="5" fillId="0" borderId="12" xfId="1" applyFont="1" applyFill="1" applyBorder="1" applyAlignment="1">
      <alignment horizontal="right" vertical="center" shrinkToFit="1"/>
    </xf>
    <xf numFmtId="0" fontId="5" fillId="0" borderId="16" xfId="0" quotePrefix="1" applyFont="1" applyFill="1" applyBorder="1" applyAlignment="1">
      <alignment horizontal="left" vertical="top" wrapText="1"/>
    </xf>
    <xf numFmtId="0" fontId="4" fillId="0" borderId="59" xfId="0" applyFont="1" applyBorder="1" applyAlignment="1">
      <alignment horizontal="justify" vertical="center" wrapText="1"/>
    </xf>
    <xf numFmtId="41" fontId="5" fillId="0" borderId="26" xfId="1" applyFont="1" applyFill="1" applyBorder="1" applyAlignment="1">
      <alignment horizontal="right" vertical="center" shrinkToFit="1"/>
    </xf>
    <xf numFmtId="0" fontId="4" fillId="0" borderId="42" xfId="0" applyFont="1" applyBorder="1" applyAlignment="1">
      <alignment horizontal="justify" vertical="center" wrapText="1"/>
    </xf>
    <xf numFmtId="0" fontId="4" fillId="0" borderId="46" xfId="0" applyFont="1" applyBorder="1" applyAlignment="1">
      <alignment horizontal="justify" vertical="center" wrapText="1"/>
    </xf>
    <xf numFmtId="0" fontId="4" fillId="0" borderId="84" xfId="0" applyFont="1" applyBorder="1" applyAlignment="1">
      <alignment horizontal="justify" vertical="center" wrapText="1"/>
    </xf>
    <xf numFmtId="41" fontId="5" fillId="0" borderId="15" xfId="1" applyFont="1" applyFill="1" applyBorder="1" applyAlignment="1">
      <alignment horizontal="right" vertical="center" shrinkToFit="1"/>
    </xf>
    <xf numFmtId="0" fontId="0" fillId="4" borderId="0" xfId="0" applyFill="1">
      <alignment vertical="center"/>
    </xf>
    <xf numFmtId="0" fontId="5" fillId="0" borderId="29" xfId="1" applyNumberFormat="1" applyFont="1" applyBorder="1" applyAlignment="1">
      <alignment vertical="center" shrinkToFit="1"/>
    </xf>
    <xf numFmtId="0" fontId="5" fillId="0" borderId="29" xfId="1" applyNumberFormat="1" applyFont="1" applyBorder="1" applyAlignment="1">
      <alignment horizontal="justify" vertical="center" shrinkToFit="1"/>
    </xf>
    <xf numFmtId="3" fontId="0" fillId="0" borderId="0" xfId="0" applyNumberFormat="1" applyAlignment="1">
      <alignment vertical="center"/>
    </xf>
    <xf numFmtId="41" fontId="4" fillId="0" borderId="15" xfId="1" applyFont="1" applyFill="1" applyBorder="1" applyAlignment="1">
      <alignment horizontal="right" vertical="center" shrinkToFit="1"/>
    </xf>
    <xf numFmtId="41" fontId="5" fillId="3" borderId="43" xfId="1" applyFont="1" applyFill="1" applyBorder="1" applyAlignment="1">
      <alignment horizontal="right" vertical="center" shrinkToFit="1"/>
    </xf>
    <xf numFmtId="0" fontId="5" fillId="0" borderId="16" xfId="0" applyFont="1" applyBorder="1" applyAlignment="1">
      <alignment horizontal="center" vertical="top" wrapText="1"/>
    </xf>
    <xf numFmtId="41" fontId="4" fillId="4" borderId="53" xfId="1" applyFont="1" applyFill="1" applyBorder="1" applyAlignment="1">
      <alignment horizontal="left" vertical="center" shrinkToFit="1"/>
    </xf>
    <xf numFmtId="41" fontId="4" fillId="4" borderId="16" xfId="1" applyFont="1" applyFill="1" applyBorder="1" applyAlignment="1">
      <alignment horizontal="center" vertical="center" shrinkToFit="1"/>
    </xf>
    <xf numFmtId="41" fontId="4" fillId="0" borderId="85" xfId="1" applyFont="1" applyFill="1" applyBorder="1" applyAlignment="1">
      <alignment horizontal="left" vertical="center" shrinkToFit="1"/>
    </xf>
    <xf numFmtId="41" fontId="5" fillId="0" borderId="28" xfId="1" applyFont="1" applyFill="1" applyBorder="1" applyAlignment="1">
      <alignment horizontal="right" vertical="center" shrinkToFit="1"/>
    </xf>
    <xf numFmtId="41" fontId="4" fillId="0" borderId="83" xfId="1" applyFont="1" applyFill="1" applyBorder="1" applyAlignment="1">
      <alignment horizontal="left" vertical="center" wrapText="1"/>
    </xf>
    <xf numFmtId="41" fontId="5" fillId="0" borderId="86" xfId="1" applyFont="1" applyFill="1" applyBorder="1" applyAlignment="1">
      <alignment horizontal="center" vertical="center" shrinkToFit="1"/>
    </xf>
    <xf numFmtId="41" fontId="5" fillId="0" borderId="83" xfId="1" applyFont="1" applyFill="1" applyBorder="1" applyAlignment="1">
      <alignment horizontal="left" vertical="center" wrapText="1"/>
    </xf>
    <xf numFmtId="41" fontId="5" fillId="0" borderId="0" xfId="1" applyFont="1" applyBorder="1" applyAlignment="1">
      <alignment vertical="center" shrinkToFit="1"/>
    </xf>
    <xf numFmtId="0" fontId="10" fillId="0" borderId="25" xfId="0" quotePrefix="1" applyFont="1" applyFill="1" applyBorder="1" applyAlignment="1">
      <alignment horizontal="justify" vertical="center" shrinkToFit="1"/>
    </xf>
    <xf numFmtId="41" fontId="5" fillId="0" borderId="29" xfId="1" applyFont="1" applyFill="1" applyBorder="1" applyAlignment="1">
      <alignment horizontal="right" vertical="center" shrinkToFit="1"/>
    </xf>
    <xf numFmtId="1" fontId="5" fillId="0" borderId="29" xfId="1" applyNumberFormat="1" applyFont="1" applyFill="1" applyBorder="1" applyAlignment="1">
      <alignment horizontal="right" vertical="center" shrinkToFit="1"/>
    </xf>
    <xf numFmtId="1" fontId="5" fillId="0" borderId="25" xfId="1" applyNumberFormat="1" applyFont="1" applyFill="1" applyBorder="1" applyAlignment="1">
      <alignment horizontal="right" vertical="center" shrinkToFit="1"/>
    </xf>
    <xf numFmtId="41" fontId="5" fillId="0" borderId="26" xfId="1" applyFont="1" applyBorder="1" applyAlignment="1">
      <alignment vertical="center" shrinkToFit="1"/>
    </xf>
    <xf numFmtId="41" fontId="5" fillId="0" borderId="83" xfId="1" applyFont="1" applyFill="1" applyBorder="1" applyAlignment="1">
      <alignment horizontal="justify" vertical="center" wrapText="1"/>
    </xf>
    <xf numFmtId="41" fontId="5" fillId="0" borderId="88" xfId="1" applyFont="1" applyFill="1" applyBorder="1" applyAlignment="1">
      <alignment horizontal="right" vertical="center" shrinkToFit="1"/>
    </xf>
    <xf numFmtId="41" fontId="5" fillId="0" borderId="15" xfId="1" applyFont="1" applyBorder="1" applyAlignment="1">
      <alignment horizontal="right" vertical="center" shrinkToFit="1"/>
    </xf>
    <xf numFmtId="41" fontId="5" fillId="0" borderId="14" xfId="1" applyFont="1" applyBorder="1" applyAlignment="1">
      <alignment horizontal="right" vertical="center" shrinkToFit="1"/>
    </xf>
    <xf numFmtId="41" fontId="4" fillId="4" borderId="0" xfId="1" applyFont="1" applyFill="1" applyBorder="1" applyAlignment="1">
      <alignment horizontal="center" vertical="center" wrapText="1"/>
    </xf>
    <xf numFmtId="41" fontId="4" fillId="4" borderId="0" xfId="1" applyFont="1" applyFill="1" applyBorder="1" applyAlignment="1">
      <alignment horizontal="justify" vertical="center" wrapText="1"/>
    </xf>
    <xf numFmtId="41" fontId="4" fillId="4" borderId="0" xfId="1" applyFont="1" applyFill="1" applyBorder="1" applyAlignment="1">
      <alignment horizontal="left" vertical="center" wrapText="1"/>
    </xf>
    <xf numFmtId="41" fontId="4" fillId="4" borderId="0" xfId="1" applyFont="1" applyFill="1" applyBorder="1" applyAlignment="1">
      <alignment horizontal="left" vertical="center" shrinkToFit="1"/>
    </xf>
    <xf numFmtId="41" fontId="4" fillId="4" borderId="55" xfId="1" applyFont="1" applyFill="1" applyBorder="1" applyAlignment="1">
      <alignment horizontal="left" vertical="center" shrinkToFit="1"/>
    </xf>
    <xf numFmtId="41" fontId="4" fillId="4" borderId="27" xfId="1" applyFont="1" applyFill="1" applyBorder="1" applyAlignment="1">
      <alignment horizontal="left" vertical="center" wrapText="1"/>
    </xf>
    <xf numFmtId="41" fontId="4" fillId="4" borderId="28" xfId="1" applyFont="1" applyFill="1" applyBorder="1" applyAlignment="1">
      <alignment horizontal="left" vertical="center" wrapText="1"/>
    </xf>
    <xf numFmtId="41" fontId="5" fillId="4" borderId="24" xfId="1" applyFont="1" applyFill="1" applyBorder="1" applyAlignment="1">
      <alignment horizontal="left" vertical="center" shrinkToFit="1"/>
    </xf>
    <xf numFmtId="41" fontId="5" fillId="4" borderId="19" xfId="1" applyFont="1" applyFill="1" applyBorder="1" applyAlignment="1">
      <alignment horizontal="center" vertical="center" wrapText="1"/>
    </xf>
    <xf numFmtId="41" fontId="5" fillId="4" borderId="15" xfId="1" applyFont="1" applyFill="1" applyBorder="1" applyAlignment="1">
      <alignment horizontal="center" vertical="center" shrinkToFit="1"/>
    </xf>
    <xf numFmtId="41" fontId="4" fillId="4" borderId="0" xfId="1" applyFont="1" applyFill="1" applyBorder="1" applyAlignment="1">
      <alignment horizontal="center" vertical="center" shrinkToFit="1"/>
    </xf>
    <xf numFmtId="41" fontId="4" fillId="4" borderId="87" xfId="1" applyFont="1" applyFill="1" applyBorder="1" applyAlignment="1">
      <alignment horizontal="left" vertical="center" shrinkToFit="1"/>
    </xf>
    <xf numFmtId="41" fontId="4" fillId="4" borderId="56" xfId="1" applyFont="1" applyFill="1" applyBorder="1" applyAlignment="1">
      <alignment horizontal="justify" vertical="center" wrapText="1"/>
    </xf>
    <xf numFmtId="41" fontId="4" fillId="4" borderId="14" xfId="1" applyFont="1" applyFill="1" applyBorder="1" applyAlignment="1">
      <alignment horizontal="center" vertical="center" shrinkToFit="1"/>
    </xf>
    <xf numFmtId="41" fontId="5" fillId="4" borderId="19" xfId="1" applyFont="1" applyFill="1" applyBorder="1" applyAlignment="1">
      <alignment horizontal="justify" vertical="center" wrapText="1"/>
    </xf>
    <xf numFmtId="41" fontId="4" fillId="4" borderId="19" xfId="1" applyFont="1" applyFill="1" applyBorder="1" applyAlignment="1">
      <alignment horizontal="justify" vertical="center" wrapText="1"/>
    </xf>
    <xf numFmtId="41" fontId="5" fillId="0" borderId="0" xfId="1" applyFont="1" applyFill="1" applyBorder="1" applyAlignment="1">
      <alignment horizontal="left" vertical="center" wrapText="1"/>
    </xf>
    <xf numFmtId="41" fontId="4" fillId="4" borderId="87" xfId="1" applyFont="1" applyFill="1" applyBorder="1" applyAlignment="1">
      <alignment horizontal="left" vertical="center" wrapText="1"/>
    </xf>
    <xf numFmtId="41" fontId="4" fillId="4" borderId="87" xfId="1" applyFont="1" applyFill="1" applyBorder="1" applyAlignment="1">
      <alignment horizontal="right" vertical="center" shrinkToFit="1"/>
    </xf>
    <xf numFmtId="41" fontId="4" fillId="4" borderId="38" xfId="1" applyFont="1" applyFill="1" applyBorder="1" applyAlignment="1">
      <alignment horizontal="left" vertical="center" shrinkToFit="1"/>
    </xf>
    <xf numFmtId="41" fontId="4" fillId="4" borderId="40" xfId="1" applyFont="1" applyFill="1" applyBorder="1" applyAlignment="1">
      <alignment horizontal="left" vertical="center" wrapText="1"/>
    </xf>
    <xf numFmtId="41" fontId="5" fillId="0" borderId="15" xfId="1" applyNumberFormat="1" applyFont="1" applyBorder="1" applyAlignment="1">
      <alignment horizontal="right" vertical="center" shrinkToFit="1"/>
    </xf>
    <xf numFmtId="41" fontId="5" fillId="3" borderId="13" xfId="1" applyFont="1" applyFill="1" applyBorder="1" applyAlignment="1">
      <alignment horizontal="center" vertical="center" shrinkToFit="1"/>
    </xf>
    <xf numFmtId="41" fontId="4" fillId="0" borderId="30" xfId="1" applyFont="1" applyFill="1" applyBorder="1" applyAlignment="1">
      <alignment horizontal="left" vertical="center" wrapText="1"/>
    </xf>
    <xf numFmtId="41" fontId="5" fillId="0" borderId="0" xfId="1" applyFont="1" applyFill="1" applyBorder="1" applyAlignment="1">
      <alignment horizontal="right" vertical="center" shrinkToFit="1"/>
    </xf>
    <xf numFmtId="1" fontId="5" fillId="0" borderId="0" xfId="1" applyNumberFormat="1" applyFont="1" applyFill="1" applyBorder="1" applyAlignment="1">
      <alignment horizontal="right" vertical="center" shrinkToFit="1"/>
    </xf>
    <xf numFmtId="41" fontId="4" fillId="0" borderId="38" xfId="1" applyFont="1" applyFill="1" applyBorder="1" applyAlignment="1">
      <alignment horizontal="left" vertical="center" wrapText="1" shrinkToFit="1"/>
    </xf>
    <xf numFmtId="41" fontId="5" fillId="0" borderId="0" xfId="1" applyFont="1" applyBorder="1" applyAlignment="1">
      <alignment horizontal="justify" vertical="center" wrapText="1"/>
    </xf>
    <xf numFmtId="41" fontId="4" fillId="0" borderId="53" xfId="1" applyFont="1" applyBorder="1" applyAlignment="1">
      <alignment horizontal="left" vertical="center" shrinkToFit="1"/>
    </xf>
    <xf numFmtId="41" fontId="4" fillId="0" borderId="16" xfId="1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5" fillId="3" borderId="72" xfId="0" applyFont="1" applyFill="1" applyBorder="1" applyAlignment="1">
      <alignment horizontal="justify" vertical="center" shrinkToFit="1"/>
    </xf>
    <xf numFmtId="0" fontId="5" fillId="3" borderId="43" xfId="0" applyFont="1" applyFill="1" applyBorder="1" applyAlignment="1">
      <alignment horizontal="justify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23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justify" vertical="center" shrinkToFit="1"/>
    </xf>
    <xf numFmtId="0" fontId="5" fillId="3" borderId="61" xfId="0" applyFont="1" applyFill="1" applyBorder="1" applyAlignment="1">
      <alignment horizontal="justify" vertical="center" shrinkToFit="1"/>
    </xf>
    <xf numFmtId="41" fontId="5" fillId="0" borderId="60" xfId="1" applyFont="1" applyBorder="1" applyAlignment="1">
      <alignment horizontal="center" vertical="center" wrapText="1"/>
    </xf>
    <xf numFmtId="41" fontId="5" fillId="0" borderId="61" xfId="1" applyFont="1" applyBorder="1" applyAlignment="1">
      <alignment horizontal="center" vertical="center" wrapText="1"/>
    </xf>
    <xf numFmtId="41" fontId="5" fillId="0" borderId="49" xfId="1" applyFont="1" applyBorder="1" applyAlignment="1">
      <alignment horizontal="center" vertical="center" wrapText="1"/>
    </xf>
    <xf numFmtId="41" fontId="5" fillId="0" borderId="50" xfId="1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41" fontId="5" fillId="0" borderId="5" xfId="1" applyFont="1" applyBorder="1" applyAlignment="1">
      <alignment horizontal="center" vertical="center" wrapText="1"/>
    </xf>
    <xf numFmtId="41" fontId="5" fillId="0" borderId="6" xfId="1" applyFont="1" applyBorder="1" applyAlignment="1">
      <alignment horizontal="center" vertical="center" wrapText="1"/>
    </xf>
    <xf numFmtId="41" fontId="5" fillId="0" borderId="7" xfId="1" applyFont="1" applyBorder="1" applyAlignment="1">
      <alignment horizontal="center" vertical="center" wrapText="1"/>
    </xf>
    <xf numFmtId="41" fontId="5" fillId="0" borderId="24" xfId="1" applyFont="1" applyBorder="1" applyAlignment="1">
      <alignment horizontal="center" vertical="center" wrapText="1"/>
    </xf>
    <xf numFmtId="41" fontId="5" fillId="0" borderId="19" xfId="1" applyFont="1" applyBorder="1" applyAlignment="1">
      <alignment horizontal="center" vertical="center" wrapText="1"/>
    </xf>
    <xf numFmtId="41" fontId="5" fillId="0" borderId="15" xfId="1" applyFont="1" applyBorder="1" applyAlignment="1">
      <alignment horizontal="center" vertical="center" wrapText="1"/>
    </xf>
    <xf numFmtId="0" fontId="5" fillId="0" borderId="9" xfId="0" quotePrefix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0" xfId="0" quotePrefix="1" applyFont="1" applyBorder="1" applyAlignment="1">
      <alignment horizontal="center" vertical="top" wrapText="1"/>
    </xf>
    <xf numFmtId="0" fontId="5" fillId="0" borderId="61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0" borderId="15" xfId="0" quotePrefix="1" applyFont="1" applyBorder="1" applyAlignment="1">
      <alignment horizontal="center" vertical="top" wrapText="1"/>
    </xf>
    <xf numFmtId="0" fontId="5" fillId="0" borderId="16" xfId="0" quotePrefix="1" applyFont="1" applyBorder="1" applyAlignment="1">
      <alignment horizontal="center" vertical="top" wrapText="1"/>
    </xf>
    <xf numFmtId="0" fontId="5" fillId="0" borderId="15" xfId="0" quotePrefix="1" applyFont="1" applyFill="1" applyBorder="1" applyAlignment="1">
      <alignment horizontal="left" vertical="top" wrapText="1"/>
    </xf>
    <xf numFmtId="0" fontId="5" fillId="0" borderId="16" xfId="0" quotePrefix="1" applyFont="1" applyFill="1" applyBorder="1" applyAlignment="1">
      <alignment horizontal="left" vertical="top" wrapText="1"/>
    </xf>
    <xf numFmtId="0" fontId="5" fillId="0" borderId="2" xfId="0" quotePrefix="1" applyFont="1" applyBorder="1" applyAlignment="1">
      <alignment horizontal="center" vertical="top" wrapText="1"/>
    </xf>
    <xf numFmtId="0" fontId="5" fillId="0" borderId="3" xfId="0" quotePrefix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workbookViewId="0">
      <selection activeCell="E11" sqref="E11"/>
    </sheetView>
  </sheetViews>
  <sheetFormatPr defaultRowHeight="16.5"/>
  <cols>
    <col min="1" max="4" width="9" style="270"/>
    <col min="5" max="5" width="77.375" style="270" customWidth="1"/>
  </cols>
  <sheetData>
    <row r="1" spans="1:5">
      <c r="A1" s="254"/>
      <c r="B1" s="255"/>
      <c r="C1" s="255"/>
      <c r="D1" s="255"/>
      <c r="E1" s="256"/>
    </row>
    <row r="2" spans="1:5">
      <c r="A2" s="257"/>
      <c r="B2" s="258"/>
      <c r="C2" s="258"/>
      <c r="D2" s="258"/>
      <c r="E2" s="259"/>
    </row>
    <row r="3" spans="1:5">
      <c r="A3" s="257"/>
      <c r="B3" s="258"/>
      <c r="C3" s="258"/>
      <c r="D3" s="258"/>
      <c r="E3" s="259"/>
    </row>
    <row r="4" spans="1:5">
      <c r="A4" s="257"/>
      <c r="B4" s="258"/>
      <c r="C4" s="258"/>
      <c r="D4" s="258"/>
      <c r="E4" s="259"/>
    </row>
    <row r="5" spans="1:5" ht="33.75">
      <c r="A5" s="360" t="s">
        <v>229</v>
      </c>
      <c r="B5" s="361"/>
      <c r="C5" s="361"/>
      <c r="D5" s="361"/>
      <c r="E5" s="362"/>
    </row>
    <row r="6" spans="1:5" ht="35.25">
      <c r="A6" s="363" t="s">
        <v>271</v>
      </c>
      <c r="B6" s="364"/>
      <c r="C6" s="364"/>
      <c r="D6" s="364"/>
      <c r="E6" s="365"/>
    </row>
    <row r="7" spans="1:5" ht="27">
      <c r="A7" s="260"/>
      <c r="B7" s="261"/>
      <c r="C7" s="261"/>
      <c r="D7" s="261"/>
      <c r="E7" s="262"/>
    </row>
    <row r="8" spans="1:5" ht="27">
      <c r="A8" s="366"/>
      <c r="B8" s="367"/>
      <c r="C8" s="367"/>
      <c r="D8" s="367"/>
      <c r="E8" s="368"/>
    </row>
    <row r="9" spans="1:5" ht="27">
      <c r="A9" s="260"/>
      <c r="B9" s="261"/>
      <c r="C9" s="261"/>
      <c r="D9" s="261"/>
      <c r="E9" s="262"/>
    </row>
    <row r="10" spans="1:5" ht="27">
      <c r="A10" s="260"/>
      <c r="B10" s="261"/>
      <c r="C10" s="261"/>
      <c r="D10" s="261"/>
      <c r="E10" s="262"/>
    </row>
    <row r="11" spans="1:5" ht="213.75" customHeight="1">
      <c r="A11" s="260"/>
      <c r="B11" s="261"/>
      <c r="C11" s="261"/>
      <c r="D11" s="261"/>
      <c r="E11" s="262"/>
    </row>
    <row r="12" spans="1:5" ht="213.75" customHeight="1">
      <c r="A12" s="263"/>
      <c r="B12" s="264"/>
      <c r="C12" s="264"/>
      <c r="D12" s="264"/>
      <c r="E12" s="265"/>
    </row>
    <row r="13" spans="1:5" ht="213.75" customHeight="1">
      <c r="A13" s="266"/>
      <c r="B13" s="258"/>
      <c r="C13" s="258"/>
      <c r="D13" s="258"/>
      <c r="E13" s="259"/>
    </row>
    <row r="14" spans="1:5">
      <c r="A14" s="266"/>
      <c r="B14" s="258"/>
      <c r="C14" s="258"/>
      <c r="D14" s="258"/>
      <c r="E14" s="259"/>
    </row>
    <row r="15" spans="1:5">
      <c r="A15" s="266"/>
      <c r="B15" s="258"/>
      <c r="C15" s="258"/>
      <c r="D15" s="258"/>
      <c r="E15" s="259"/>
    </row>
    <row r="16" spans="1:5">
      <c r="A16" s="266"/>
      <c r="B16" s="258"/>
      <c r="C16" s="258"/>
      <c r="D16" s="258"/>
      <c r="E16" s="259"/>
    </row>
    <row r="17" spans="1:5">
      <c r="A17" s="266"/>
      <c r="B17" s="258"/>
      <c r="C17" s="258"/>
      <c r="D17" s="258"/>
      <c r="E17" s="259"/>
    </row>
    <row r="18" spans="1:5">
      <c r="A18" s="266"/>
      <c r="B18" s="258"/>
      <c r="C18" s="258"/>
      <c r="D18" s="258"/>
      <c r="E18" s="259"/>
    </row>
    <row r="19" spans="1:5" ht="31.5">
      <c r="A19" s="369" t="s">
        <v>149</v>
      </c>
      <c r="B19" s="370"/>
      <c r="C19" s="370"/>
      <c r="D19" s="370"/>
      <c r="E19" s="371"/>
    </row>
    <row r="20" spans="1:5">
      <c r="A20" s="266"/>
      <c r="B20" s="258"/>
      <c r="C20" s="258"/>
      <c r="D20" s="258"/>
      <c r="E20" s="259"/>
    </row>
    <row r="21" spans="1:5">
      <c r="A21" s="266"/>
      <c r="B21" s="258"/>
      <c r="C21" s="258"/>
      <c r="D21" s="258"/>
      <c r="E21" s="259"/>
    </row>
    <row r="22" spans="1:5" ht="17.25" thickBot="1">
      <c r="A22" s="267"/>
      <c r="B22" s="268"/>
      <c r="C22" s="268"/>
      <c r="D22" s="268"/>
      <c r="E22" s="269"/>
    </row>
  </sheetData>
  <mergeCells count="4">
    <mergeCell ref="A5:E5"/>
    <mergeCell ref="A6:E6"/>
    <mergeCell ref="A8:E8"/>
    <mergeCell ref="A19:E19"/>
  </mergeCells>
  <phoneticPr fontId="6" type="noConversion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B5" sqref="B5"/>
    </sheetView>
  </sheetViews>
  <sheetFormatPr defaultRowHeight="17.25"/>
  <cols>
    <col min="1" max="1" width="4.25" style="271" customWidth="1"/>
    <col min="2" max="10" width="9" style="271"/>
    <col min="11" max="11" width="15.25" style="271" bestFit="1" customWidth="1"/>
    <col min="12" max="12" width="4.25" style="271" customWidth="1"/>
  </cols>
  <sheetData>
    <row r="1" spans="1:12" ht="18" thickBot="1"/>
    <row r="2" spans="1:12" ht="106.5" customHeight="1">
      <c r="A2" s="372" t="s">
        <v>150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4"/>
    </row>
    <row r="3" spans="1:12">
      <c r="A3" s="272"/>
      <c r="B3" s="273"/>
      <c r="C3" s="273"/>
      <c r="D3" s="273"/>
      <c r="E3" s="273"/>
      <c r="F3" s="273"/>
      <c r="G3" s="273"/>
      <c r="H3" s="273"/>
      <c r="I3" s="273"/>
      <c r="J3" s="274"/>
      <c r="K3" s="274"/>
      <c r="L3" s="275"/>
    </row>
    <row r="4" spans="1:12" ht="35.25" customHeight="1">
      <c r="A4" s="272"/>
      <c r="B4" s="273" t="s">
        <v>352</v>
      </c>
      <c r="C4" s="273"/>
      <c r="D4" s="273"/>
      <c r="E4" s="273"/>
      <c r="F4" s="273"/>
      <c r="G4" s="273"/>
      <c r="H4" s="273"/>
      <c r="I4" s="273"/>
      <c r="J4" s="273"/>
      <c r="K4" s="276"/>
      <c r="L4" s="277"/>
    </row>
    <row r="5" spans="1:12" ht="35.25" customHeight="1">
      <c r="A5" s="272"/>
      <c r="B5" s="273" t="s">
        <v>151</v>
      </c>
      <c r="C5" s="273"/>
      <c r="D5" s="273"/>
      <c r="E5" s="273"/>
      <c r="F5" s="273"/>
      <c r="G5" s="273"/>
      <c r="H5" s="273"/>
      <c r="I5" s="273"/>
      <c r="J5" s="273"/>
      <c r="K5" s="273"/>
      <c r="L5" s="277"/>
    </row>
    <row r="6" spans="1:12" ht="35.25" customHeight="1">
      <c r="A6" s="272"/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7"/>
    </row>
    <row r="7" spans="1:12" ht="35.25" customHeight="1">
      <c r="A7" s="272"/>
      <c r="B7" s="273" t="s">
        <v>152</v>
      </c>
      <c r="C7" s="273"/>
      <c r="D7" s="273"/>
      <c r="E7" s="273"/>
      <c r="F7" s="273"/>
      <c r="G7" s="273"/>
      <c r="H7" s="273"/>
      <c r="I7" s="273"/>
      <c r="J7" s="273"/>
      <c r="K7" s="273"/>
      <c r="L7" s="277"/>
    </row>
    <row r="8" spans="1:12" ht="35.25" customHeight="1">
      <c r="A8" s="272"/>
      <c r="B8" s="273" t="s">
        <v>153</v>
      </c>
      <c r="C8" s="273"/>
      <c r="D8" s="273"/>
      <c r="E8" s="273"/>
      <c r="F8" s="273"/>
      <c r="G8" s="273"/>
      <c r="H8" s="273"/>
      <c r="I8" s="273"/>
      <c r="J8" s="273"/>
      <c r="K8" s="273"/>
      <c r="L8" s="277"/>
    </row>
    <row r="9" spans="1:12" ht="35.25" customHeight="1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7"/>
    </row>
    <row r="10" spans="1:12" ht="35.25" customHeight="1">
      <c r="A10" s="272"/>
      <c r="B10" s="273" t="s">
        <v>154</v>
      </c>
      <c r="C10" s="273"/>
      <c r="D10" s="273"/>
      <c r="E10" s="273"/>
      <c r="F10" s="273"/>
      <c r="G10" s="273"/>
      <c r="H10" s="273"/>
      <c r="I10" s="273"/>
      <c r="J10" s="273"/>
      <c r="K10" s="273"/>
      <c r="L10" s="277"/>
    </row>
    <row r="11" spans="1:12" ht="35.25" customHeight="1">
      <c r="A11" s="272"/>
      <c r="B11" s="273" t="s">
        <v>155</v>
      </c>
      <c r="C11" s="273"/>
      <c r="D11" s="273"/>
      <c r="E11" s="273"/>
      <c r="F11" s="273"/>
      <c r="G11" s="273"/>
      <c r="H11" s="273"/>
      <c r="I11" s="273"/>
      <c r="J11" s="273"/>
      <c r="K11" s="273"/>
      <c r="L11" s="277"/>
    </row>
    <row r="12" spans="1:12" ht="35.25" customHeight="1">
      <c r="A12" s="272"/>
      <c r="B12" s="273" t="s">
        <v>156</v>
      </c>
      <c r="C12" s="273"/>
      <c r="D12" s="273"/>
      <c r="E12" s="273"/>
      <c r="F12" s="273"/>
      <c r="G12" s="273"/>
      <c r="H12" s="273"/>
      <c r="I12" s="273"/>
      <c r="J12" s="273"/>
      <c r="K12" s="273"/>
      <c r="L12" s="277"/>
    </row>
    <row r="13" spans="1:12" ht="35.25" customHeight="1">
      <c r="A13" s="272"/>
      <c r="B13" s="273" t="s">
        <v>157</v>
      </c>
      <c r="C13" s="273"/>
      <c r="D13" s="273"/>
      <c r="E13" s="273"/>
      <c r="F13" s="273"/>
      <c r="G13" s="273"/>
      <c r="H13" s="273"/>
      <c r="I13" s="273"/>
      <c r="J13" s="273"/>
      <c r="K13" s="273"/>
      <c r="L13" s="277"/>
    </row>
    <row r="14" spans="1:12" ht="35.25" customHeight="1">
      <c r="A14" s="272"/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7"/>
    </row>
    <row r="15" spans="1:12" ht="35.25" customHeight="1">
      <c r="A15" s="272"/>
      <c r="B15" s="273" t="s">
        <v>158</v>
      </c>
      <c r="C15" s="273"/>
      <c r="D15" s="273"/>
      <c r="E15" s="273"/>
      <c r="F15" s="273"/>
      <c r="G15" s="273"/>
      <c r="H15" s="273"/>
      <c r="I15" s="273"/>
      <c r="J15" s="273"/>
      <c r="K15" s="273"/>
      <c r="L15" s="277"/>
    </row>
    <row r="16" spans="1:12" ht="35.25" customHeight="1">
      <c r="A16" s="272"/>
      <c r="B16" s="273" t="s">
        <v>159</v>
      </c>
      <c r="C16" s="273"/>
      <c r="D16" s="273"/>
      <c r="E16" s="273"/>
      <c r="F16" s="273"/>
      <c r="G16" s="273"/>
      <c r="H16" s="273"/>
      <c r="I16" s="273"/>
      <c r="J16" s="273"/>
      <c r="K16" s="273"/>
      <c r="L16" s="277"/>
    </row>
    <row r="17" spans="1:12" ht="35.25" customHeight="1">
      <c r="A17" s="272"/>
      <c r="B17" s="273" t="s">
        <v>160</v>
      </c>
      <c r="C17" s="273"/>
      <c r="D17" s="273"/>
      <c r="E17" s="273"/>
      <c r="F17" s="273"/>
      <c r="G17" s="273"/>
      <c r="H17" s="273"/>
      <c r="I17" s="273"/>
      <c r="J17" s="273"/>
      <c r="K17" s="273"/>
      <c r="L17" s="277"/>
    </row>
    <row r="18" spans="1:12" ht="35.25" customHeight="1">
      <c r="A18" s="272"/>
      <c r="B18" s="273" t="s">
        <v>161</v>
      </c>
      <c r="C18" s="273"/>
      <c r="D18" s="273"/>
      <c r="E18" s="273"/>
      <c r="F18" s="273"/>
      <c r="G18" s="273"/>
      <c r="H18" s="273"/>
      <c r="I18" s="273"/>
      <c r="J18" s="273"/>
      <c r="K18" s="273"/>
      <c r="L18" s="277"/>
    </row>
    <row r="19" spans="1:12" ht="35.25" customHeight="1">
      <c r="A19" s="272"/>
      <c r="B19" s="273" t="s">
        <v>162</v>
      </c>
      <c r="C19" s="273"/>
      <c r="D19" s="273"/>
      <c r="E19" s="273"/>
      <c r="F19" s="273"/>
      <c r="G19" s="273"/>
      <c r="H19" s="273"/>
      <c r="I19" s="273"/>
      <c r="J19" s="273"/>
      <c r="K19" s="273"/>
      <c r="L19" s="277"/>
    </row>
    <row r="20" spans="1:12" ht="35.25" customHeight="1" thickBot="1">
      <c r="A20" s="278"/>
      <c r="B20" s="279"/>
      <c r="C20" s="279"/>
      <c r="D20" s="279"/>
      <c r="E20" s="279"/>
      <c r="F20" s="279"/>
      <c r="G20" s="279"/>
      <c r="H20" s="279"/>
      <c r="I20" s="279"/>
      <c r="J20" s="279"/>
      <c r="K20" s="279"/>
      <c r="L20" s="280"/>
    </row>
    <row r="21" spans="1:12" ht="35.25" customHeight="1">
      <c r="A21" s="375"/>
      <c r="B21" s="375"/>
      <c r="C21" s="375"/>
      <c r="D21" s="375"/>
      <c r="E21" s="375"/>
      <c r="F21" s="375"/>
      <c r="G21" s="375"/>
      <c r="H21" s="375"/>
      <c r="I21" s="375"/>
    </row>
    <row r="22" spans="1:12" ht="35.25" customHeight="1">
      <c r="A22" s="274"/>
      <c r="B22" s="274"/>
      <c r="C22" s="274"/>
      <c r="D22" s="274"/>
      <c r="E22" s="274"/>
      <c r="F22" s="274"/>
      <c r="G22" s="274"/>
      <c r="H22" s="274"/>
      <c r="I22" s="274"/>
    </row>
    <row r="23" spans="1:12" ht="35.25" customHeight="1">
      <c r="A23" s="274"/>
      <c r="B23" s="274"/>
      <c r="C23" s="274"/>
      <c r="D23" s="274"/>
      <c r="E23" s="274"/>
      <c r="F23" s="274"/>
      <c r="G23" s="274"/>
      <c r="H23" s="274"/>
      <c r="I23" s="274"/>
    </row>
    <row r="24" spans="1:12" ht="35.25" customHeight="1"/>
    <row r="25" spans="1:12" ht="35.25" customHeight="1"/>
    <row r="26" spans="1:12" ht="35.25" customHeight="1"/>
    <row r="27" spans="1:12" ht="35.25" customHeight="1"/>
    <row r="28" spans="1:12" ht="35.25" customHeight="1"/>
    <row r="29" spans="1:12" ht="35.25" customHeight="1"/>
  </sheetData>
  <mergeCells count="2">
    <mergeCell ref="A2:L2"/>
    <mergeCell ref="A21:I21"/>
  </mergeCells>
  <phoneticPr fontId="6" type="noConversion"/>
  <pageMargins left="0.7" right="0.7" top="0.75" bottom="0.75" header="0.3" footer="0.3"/>
  <pageSetup paperSize="9" scale="7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0"/>
  <sheetViews>
    <sheetView zoomScale="145" zoomScaleNormal="145" workbookViewId="0">
      <pane xSplit="2" ySplit="6" topLeftCell="C82" activePane="bottomRight" state="frozen"/>
      <selection pane="topRight" activeCell="C1" sqref="C1"/>
      <selection pane="bottomLeft" activeCell="A7" sqref="A7"/>
      <selection pane="bottomRight" activeCell="G71" sqref="G71"/>
    </sheetView>
  </sheetViews>
  <sheetFormatPr defaultRowHeight="16.5"/>
  <cols>
    <col min="1" max="1" width="1.5" customWidth="1"/>
    <col min="2" max="2" width="14.5" customWidth="1"/>
    <col min="3" max="3" width="11.125" style="1" customWidth="1"/>
    <col min="4" max="4" width="0" style="1" hidden="1" customWidth="1"/>
    <col min="5" max="5" width="11.75" style="3" customWidth="1"/>
    <col min="6" max="6" width="10.875" style="3" customWidth="1"/>
    <col min="7" max="7" width="25" style="27" customWidth="1"/>
    <col min="8" max="8" width="2.125" style="27" customWidth="1"/>
    <col min="9" max="9" width="15.875" style="27" bestFit="1" customWidth="1"/>
    <col min="10" max="10" width="3.125" customWidth="1"/>
  </cols>
  <sheetData>
    <row r="1" spans="1:12" ht="33" customHeight="1">
      <c r="A1" s="380" t="s">
        <v>230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2" ht="19.5" customHeight="1">
      <c r="A2" s="381" t="s">
        <v>261</v>
      </c>
      <c r="B2" s="381"/>
      <c r="C2" s="381"/>
      <c r="D2" s="381"/>
      <c r="E2" s="381"/>
      <c r="F2" s="381"/>
      <c r="G2" s="381"/>
      <c r="H2" s="381"/>
      <c r="I2" s="381"/>
      <c r="J2" s="381"/>
    </row>
    <row r="3" spans="1:12" ht="18.75">
      <c r="A3" s="382" t="s">
        <v>0</v>
      </c>
      <c r="B3" s="382"/>
      <c r="C3" s="382"/>
      <c r="D3" s="382"/>
      <c r="E3" s="382"/>
      <c r="F3" s="382"/>
      <c r="G3" s="382"/>
      <c r="H3" s="382"/>
      <c r="I3" s="382"/>
      <c r="J3" s="382"/>
    </row>
    <row r="4" spans="1:12" ht="17.25" thickBot="1">
      <c r="A4" s="383" t="s">
        <v>262</v>
      </c>
      <c r="B4" s="383"/>
      <c r="C4" s="383"/>
      <c r="D4" s="383"/>
      <c r="E4" s="383"/>
      <c r="F4" s="383"/>
      <c r="G4" s="383"/>
      <c r="H4" s="383"/>
      <c r="I4" s="383"/>
      <c r="J4" s="383"/>
    </row>
    <row r="5" spans="1:12" ht="22.5">
      <c r="A5" s="384" t="s">
        <v>1</v>
      </c>
      <c r="B5" s="385"/>
      <c r="C5" s="33" t="s">
        <v>2</v>
      </c>
      <c r="D5" s="33" t="s">
        <v>4</v>
      </c>
      <c r="E5" s="33" t="s">
        <v>6</v>
      </c>
      <c r="F5" s="144" t="s">
        <v>8</v>
      </c>
      <c r="G5" s="392" t="s">
        <v>29</v>
      </c>
      <c r="H5" s="392"/>
      <c r="I5" s="393"/>
      <c r="J5" s="388" t="s">
        <v>10</v>
      </c>
    </row>
    <row r="6" spans="1:12" ht="17.25" thickBot="1">
      <c r="A6" s="386"/>
      <c r="B6" s="387"/>
      <c r="C6" s="28" t="s">
        <v>3</v>
      </c>
      <c r="D6" s="28" t="s">
        <v>5</v>
      </c>
      <c r="E6" s="28" t="s">
        <v>7</v>
      </c>
      <c r="F6" s="28" t="s">
        <v>9</v>
      </c>
      <c r="G6" s="394"/>
      <c r="H6" s="394"/>
      <c r="I6" s="395"/>
      <c r="J6" s="389"/>
    </row>
    <row r="7" spans="1:12">
      <c r="A7" s="376" t="s">
        <v>11</v>
      </c>
      <c r="B7" s="377"/>
      <c r="C7" s="153">
        <f>C9+C12+C18</f>
        <v>6497510</v>
      </c>
      <c r="D7" s="152">
        <v>0</v>
      </c>
      <c r="E7" s="153">
        <f>E9+E12+E16+E18</f>
        <v>5331942</v>
      </c>
      <c r="F7" s="153">
        <f>E7-C7</f>
        <v>-1165568</v>
      </c>
      <c r="G7" s="155"/>
      <c r="H7" s="155"/>
      <c r="I7" s="156"/>
      <c r="J7" s="157"/>
    </row>
    <row r="8" spans="1:12">
      <c r="A8" s="158"/>
      <c r="B8" s="159"/>
      <c r="C8" s="239"/>
      <c r="D8" s="239"/>
      <c r="E8" s="239"/>
      <c r="F8" s="239"/>
      <c r="G8" s="150"/>
      <c r="H8" s="150"/>
      <c r="I8" s="150"/>
      <c r="J8" s="151"/>
    </row>
    <row r="9" spans="1:12">
      <c r="A9" s="60"/>
      <c r="B9" s="61" t="s">
        <v>58</v>
      </c>
      <c r="C9" s="70">
        <v>450000</v>
      </c>
      <c r="D9" s="145"/>
      <c r="E9" s="70">
        <f>I9</f>
        <v>630000</v>
      </c>
      <c r="F9" s="71">
        <f>E9-C9</f>
        <v>180000</v>
      </c>
      <c r="G9" s="95" t="s">
        <v>57</v>
      </c>
      <c r="H9" s="96"/>
      <c r="I9" s="97">
        <f>SUM(I10:I11)</f>
        <v>630000</v>
      </c>
      <c r="J9" s="32"/>
    </row>
    <row r="10" spans="1:12">
      <c r="A10" s="62"/>
      <c r="B10" s="77"/>
      <c r="C10" s="242"/>
      <c r="D10" s="242"/>
      <c r="E10" s="242"/>
      <c r="F10" s="242"/>
      <c r="G10" s="313" t="s">
        <v>273</v>
      </c>
      <c r="H10" s="332" t="s">
        <v>34</v>
      </c>
      <c r="I10" s="333">
        <f>30000*11+15000*2</f>
        <v>360000</v>
      </c>
      <c r="J10" s="34"/>
    </row>
    <row r="11" spans="1:12">
      <c r="A11" s="62"/>
      <c r="B11" s="63"/>
      <c r="C11" s="72"/>
      <c r="D11" s="146"/>
      <c r="E11" s="72"/>
      <c r="F11" s="73"/>
      <c r="G11" s="334" t="s">
        <v>272</v>
      </c>
      <c r="H11" s="335" t="s">
        <v>34</v>
      </c>
      <c r="I11" s="336">
        <f>15000*12+30000*3</f>
        <v>270000</v>
      </c>
      <c r="J11" s="34"/>
    </row>
    <row r="12" spans="1:12">
      <c r="A12" s="62"/>
      <c r="B12" s="61" t="s">
        <v>59</v>
      </c>
      <c r="C12" s="70">
        <v>3735000</v>
      </c>
      <c r="D12" s="145"/>
      <c r="E12" s="70">
        <f>I12</f>
        <v>3586793</v>
      </c>
      <c r="F12" s="71">
        <f>E12-C12</f>
        <v>-148207</v>
      </c>
      <c r="G12" s="337" t="s">
        <v>63</v>
      </c>
      <c r="H12" s="338"/>
      <c r="I12" s="339">
        <f>SUM(I13:I14)</f>
        <v>3586793</v>
      </c>
      <c r="J12" s="32"/>
    </row>
    <row r="13" spans="1:12">
      <c r="A13" s="62"/>
      <c r="B13" s="63"/>
      <c r="C13" s="241"/>
      <c r="D13" s="241"/>
      <c r="E13" s="241"/>
      <c r="F13" s="241"/>
      <c r="G13" s="313" t="s">
        <v>275</v>
      </c>
      <c r="H13" s="332" t="s">
        <v>34</v>
      </c>
      <c r="I13" s="340">
        <f>40000*20*2-26207</f>
        <v>1573793</v>
      </c>
      <c r="J13" s="34"/>
    </row>
    <row r="14" spans="1:12">
      <c r="A14" s="62"/>
      <c r="B14" s="63"/>
      <c r="C14" s="72"/>
      <c r="D14" s="146"/>
      <c r="E14" s="72"/>
      <c r="F14" s="74"/>
      <c r="G14" s="334" t="s">
        <v>274</v>
      </c>
      <c r="H14" s="335" t="s">
        <v>34</v>
      </c>
      <c r="I14" s="336">
        <f>30500*33*2</f>
        <v>2013000</v>
      </c>
      <c r="J14" s="76"/>
      <c r="K14" s="306"/>
      <c r="L14" s="306"/>
    </row>
    <row r="15" spans="1:12">
      <c r="A15" s="62"/>
      <c r="B15" s="63"/>
      <c r="C15" s="72"/>
      <c r="D15" s="146"/>
      <c r="E15" s="72"/>
      <c r="F15" s="74"/>
      <c r="G15" s="101" t="s">
        <v>62</v>
      </c>
      <c r="H15" s="102"/>
      <c r="I15" s="207">
        <v>0</v>
      </c>
      <c r="J15" s="32"/>
    </row>
    <row r="16" spans="1:12">
      <c r="A16" s="62"/>
      <c r="B16" s="61" t="s">
        <v>60</v>
      </c>
      <c r="C16" s="235">
        <v>0</v>
      </c>
      <c r="D16" s="235">
        <v>0</v>
      </c>
      <c r="E16" s="70">
        <f>I16</f>
        <v>0</v>
      </c>
      <c r="F16" s="71">
        <f>E16-C16</f>
        <v>0</v>
      </c>
      <c r="G16" s="101" t="s">
        <v>89</v>
      </c>
      <c r="H16" s="160"/>
      <c r="I16" s="207">
        <v>0</v>
      </c>
      <c r="J16" s="32"/>
    </row>
    <row r="17" spans="1:10">
      <c r="A17" s="62"/>
      <c r="B17" s="78"/>
      <c r="C17" s="242"/>
      <c r="D17" s="242"/>
      <c r="E17" s="242"/>
      <c r="F17" s="242"/>
      <c r="G17" s="161"/>
      <c r="H17" s="99"/>
      <c r="I17" s="100"/>
      <c r="J17" s="162"/>
    </row>
    <row r="18" spans="1:10">
      <c r="A18" s="62"/>
      <c r="B18" s="61" t="s">
        <v>61</v>
      </c>
      <c r="C18" s="70">
        <v>2312510</v>
      </c>
      <c r="D18" s="145"/>
      <c r="E18" s="70">
        <f>I18+I23+I30+I33+I27</f>
        <v>1115149</v>
      </c>
      <c r="F18" s="71">
        <f>E18-C18</f>
        <v>-1197361</v>
      </c>
      <c r="G18" s="104" t="s">
        <v>84</v>
      </c>
      <c r="H18" s="105"/>
      <c r="I18" s="106">
        <f>SUM(I19:I22)</f>
        <v>0</v>
      </c>
      <c r="J18" s="58"/>
    </row>
    <row r="19" spans="1:10">
      <c r="A19" s="62"/>
      <c r="B19" s="64"/>
      <c r="C19" s="241"/>
      <c r="D19" s="241"/>
      <c r="E19" s="241"/>
      <c r="F19" s="241"/>
      <c r="G19" s="107" t="s">
        <v>259</v>
      </c>
      <c r="H19" s="98" t="s">
        <v>27</v>
      </c>
      <c r="I19" s="108">
        <v>0</v>
      </c>
      <c r="J19" s="59"/>
    </row>
    <row r="20" spans="1:10">
      <c r="A20" s="62"/>
      <c r="B20" s="64"/>
      <c r="C20" s="72"/>
      <c r="D20" s="146"/>
      <c r="E20" s="72"/>
      <c r="F20" s="72"/>
      <c r="G20" s="107" t="s">
        <v>260</v>
      </c>
      <c r="H20" s="98" t="s">
        <v>27</v>
      </c>
      <c r="I20" s="108">
        <v>0</v>
      </c>
      <c r="J20" s="59"/>
    </row>
    <row r="21" spans="1:10">
      <c r="A21" s="62"/>
      <c r="B21" s="64"/>
      <c r="C21" s="72"/>
      <c r="D21" s="146"/>
      <c r="E21" s="72"/>
      <c r="F21" s="72"/>
      <c r="G21" s="107" t="s">
        <v>256</v>
      </c>
      <c r="H21" s="98" t="s">
        <v>27</v>
      </c>
      <c r="I21" s="108">
        <v>0</v>
      </c>
      <c r="J21" s="59"/>
    </row>
    <row r="22" spans="1:10">
      <c r="A22" s="62"/>
      <c r="B22" s="64"/>
      <c r="C22" s="72"/>
      <c r="D22" s="146"/>
      <c r="E22" s="72"/>
      <c r="F22" s="72"/>
      <c r="G22" s="109" t="s">
        <v>257</v>
      </c>
      <c r="H22" s="99" t="s">
        <v>27</v>
      </c>
      <c r="I22" s="108">
        <v>0</v>
      </c>
      <c r="J22" s="59"/>
    </row>
    <row r="23" spans="1:10" s="123" customFormat="1">
      <c r="A23" s="122"/>
      <c r="B23" s="131"/>
      <c r="C23" s="132"/>
      <c r="D23" s="147"/>
      <c r="E23" s="132"/>
      <c r="F23" s="132"/>
      <c r="G23" s="104" t="s">
        <v>83</v>
      </c>
      <c r="H23" s="105"/>
      <c r="I23" s="106">
        <f>I24+I25+I26</f>
        <v>63360</v>
      </c>
      <c r="J23" s="135"/>
    </row>
    <row r="24" spans="1:10" s="123" customFormat="1">
      <c r="A24" s="122"/>
      <c r="B24" s="131"/>
      <c r="C24" s="132"/>
      <c r="D24" s="147"/>
      <c r="E24" s="132"/>
      <c r="F24" s="132"/>
      <c r="G24" s="349" t="s">
        <v>288</v>
      </c>
      <c r="H24" s="332" t="s">
        <v>27</v>
      </c>
      <c r="I24" s="350">
        <f>300*33</f>
        <v>9900</v>
      </c>
      <c r="J24" s="133"/>
    </row>
    <row r="25" spans="1:10" s="123" customFormat="1">
      <c r="A25" s="122"/>
      <c r="B25" s="131"/>
      <c r="C25" s="132"/>
      <c r="D25" s="147"/>
      <c r="E25" s="132"/>
      <c r="F25" s="132"/>
      <c r="G25" s="349" t="s">
        <v>289</v>
      </c>
      <c r="H25" s="332" t="s">
        <v>27</v>
      </c>
      <c r="I25" s="350">
        <v>5405</v>
      </c>
      <c r="J25" s="133"/>
    </row>
    <row r="26" spans="1:10" s="123" customFormat="1">
      <c r="A26" s="122"/>
      <c r="B26" s="131"/>
      <c r="C26" s="132"/>
      <c r="D26" s="147"/>
      <c r="E26" s="132"/>
      <c r="F26" s="132"/>
      <c r="G26" s="107" t="s">
        <v>276</v>
      </c>
      <c r="H26" s="98" t="s">
        <v>27</v>
      </c>
      <c r="I26" s="108">
        <f>9611*5</f>
        <v>48055</v>
      </c>
      <c r="J26" s="133"/>
    </row>
    <row r="27" spans="1:10" s="123" customFormat="1">
      <c r="A27" s="122"/>
      <c r="B27" s="131"/>
      <c r="C27" s="132"/>
      <c r="D27" s="147"/>
      <c r="E27" s="132"/>
      <c r="F27" s="132"/>
      <c r="G27" s="104" t="s">
        <v>286</v>
      </c>
      <c r="H27" s="105"/>
      <c r="I27" s="106">
        <f>SUM(I28:I29)</f>
        <v>373600</v>
      </c>
      <c r="J27" s="133"/>
    </row>
    <row r="28" spans="1:10" s="123" customFormat="1">
      <c r="A28" s="122"/>
      <c r="B28" s="131"/>
      <c r="C28" s="132"/>
      <c r="D28" s="147"/>
      <c r="E28" s="132"/>
      <c r="F28" s="132"/>
      <c r="G28" s="107" t="s">
        <v>287</v>
      </c>
      <c r="H28" s="98" t="s">
        <v>27</v>
      </c>
      <c r="I28" s="108">
        <v>373600</v>
      </c>
      <c r="J28" s="133"/>
    </row>
    <row r="29" spans="1:10" s="123" customFormat="1">
      <c r="A29" s="122"/>
      <c r="B29" s="131"/>
      <c r="C29" s="132"/>
      <c r="D29" s="147"/>
      <c r="E29" s="132"/>
      <c r="F29" s="132"/>
      <c r="G29" s="109"/>
      <c r="H29" s="99"/>
      <c r="I29" s="100"/>
      <c r="J29" s="133"/>
    </row>
    <row r="30" spans="1:10">
      <c r="A30" s="62"/>
      <c r="B30" s="64"/>
      <c r="C30" s="72"/>
      <c r="D30" s="146"/>
      <c r="E30" s="72"/>
      <c r="F30" s="72"/>
      <c r="G30" s="104" t="s">
        <v>284</v>
      </c>
      <c r="H30" s="105"/>
      <c r="I30" s="106">
        <f>SUM(I31:I32)</f>
        <v>223400</v>
      </c>
      <c r="J30" s="135"/>
    </row>
    <row r="31" spans="1:10">
      <c r="A31" s="62"/>
      <c r="B31" s="64"/>
      <c r="C31" s="72"/>
      <c r="D31" s="146"/>
      <c r="E31" s="72"/>
      <c r="F31" s="72"/>
      <c r="G31" s="107" t="s">
        <v>280</v>
      </c>
      <c r="H31" s="98" t="s">
        <v>27</v>
      </c>
      <c r="I31" s="108">
        <v>223400</v>
      </c>
      <c r="J31" s="133"/>
    </row>
    <row r="32" spans="1:10" s="123" customFormat="1">
      <c r="A32" s="122"/>
      <c r="B32" s="131"/>
      <c r="C32" s="132"/>
      <c r="D32" s="147"/>
      <c r="E32" s="132"/>
      <c r="F32" s="132"/>
      <c r="G32" s="109"/>
      <c r="H32" s="99"/>
      <c r="I32" s="100"/>
      <c r="J32" s="134"/>
    </row>
    <row r="33" spans="1:10">
      <c r="A33" s="62"/>
      <c r="B33" s="64"/>
      <c r="C33" s="72"/>
      <c r="D33" s="146"/>
      <c r="E33" s="72"/>
      <c r="F33" s="72"/>
      <c r="G33" s="104" t="s">
        <v>285</v>
      </c>
      <c r="H33" s="105"/>
      <c r="I33" s="106">
        <f>SUM(I34:I36)</f>
        <v>454789</v>
      </c>
      <c r="J33" s="58"/>
    </row>
    <row r="34" spans="1:10">
      <c r="A34" s="62"/>
      <c r="B34" s="64"/>
      <c r="C34" s="72"/>
      <c r="D34" s="146"/>
      <c r="E34" s="72"/>
      <c r="F34" s="72"/>
      <c r="G34" s="349" t="s">
        <v>258</v>
      </c>
      <c r="H34" s="332" t="s">
        <v>27</v>
      </c>
      <c r="I34" s="350">
        <v>435053</v>
      </c>
      <c r="J34" s="59"/>
    </row>
    <row r="35" spans="1:10">
      <c r="A35" s="62"/>
      <c r="B35" s="64"/>
      <c r="C35" s="72"/>
      <c r="D35" s="146"/>
      <c r="E35" s="72"/>
      <c r="F35" s="72"/>
      <c r="G35" s="349" t="s">
        <v>298</v>
      </c>
      <c r="H35" s="332" t="s">
        <v>27</v>
      </c>
      <c r="I35" s="350">
        <f>1550*4</f>
        <v>6200</v>
      </c>
      <c r="J35" s="59"/>
    </row>
    <row r="36" spans="1:10" ht="17.25" thickBot="1">
      <c r="A36" s="62"/>
      <c r="B36" s="64"/>
      <c r="C36" s="72"/>
      <c r="D36" s="146"/>
      <c r="E36" s="72"/>
      <c r="F36" s="72"/>
      <c r="G36" s="349" t="s">
        <v>299</v>
      </c>
      <c r="H36" s="335" t="s">
        <v>27</v>
      </c>
      <c r="I36" s="350">
        <f>1681*6+1150*3</f>
        <v>13536</v>
      </c>
      <c r="J36" s="59"/>
    </row>
    <row r="37" spans="1:10">
      <c r="A37" s="390" t="s">
        <v>13</v>
      </c>
      <c r="B37" s="391"/>
      <c r="C37" s="153">
        <f>SUM(C39:C55)</f>
        <v>10238266</v>
      </c>
      <c r="D37" s="152">
        <v>0</v>
      </c>
      <c r="E37" s="153">
        <f>SUM(E39,E41,E43,E48,E50,E46,E52)</f>
        <v>12463157.199999999</v>
      </c>
      <c r="F37" s="153">
        <f>F39+F41+F43+F46+F48+F50+F52</f>
        <v>2224891.1999999993</v>
      </c>
      <c r="G37" s="154"/>
      <c r="H37" s="155"/>
      <c r="I37" s="156"/>
      <c r="J37" s="157"/>
    </row>
    <row r="38" spans="1:10">
      <c r="A38" s="158"/>
      <c r="B38" s="159"/>
      <c r="C38" s="239"/>
      <c r="D38" s="239"/>
      <c r="E38" s="239"/>
      <c r="F38" s="239"/>
      <c r="G38" s="29"/>
      <c r="H38" s="30"/>
      <c r="I38" s="31"/>
      <c r="J38" s="35"/>
    </row>
    <row r="39" spans="1:10" ht="22.5">
      <c r="A39" s="60"/>
      <c r="B39" s="61" t="s">
        <v>64</v>
      </c>
      <c r="C39" s="70">
        <v>4995454</v>
      </c>
      <c r="D39" s="145"/>
      <c r="E39" s="70">
        <f>I39</f>
        <v>5753541.5999999996</v>
      </c>
      <c r="F39" s="71">
        <f>E39-C39</f>
        <v>758087.59999999963</v>
      </c>
      <c r="G39" s="104" t="s">
        <v>118</v>
      </c>
      <c r="H39" s="105"/>
      <c r="I39" s="106">
        <f>SUM(I40)</f>
        <v>5753541.5999999996</v>
      </c>
      <c r="J39" s="32"/>
    </row>
    <row r="40" spans="1:10">
      <c r="A40" s="62"/>
      <c r="B40" s="78"/>
      <c r="C40" s="241"/>
      <c r="D40" s="241"/>
      <c r="E40" s="241"/>
      <c r="F40" s="241"/>
      <c r="G40" s="107" t="s">
        <v>301</v>
      </c>
      <c r="H40" s="98" t="s">
        <v>27</v>
      </c>
      <c r="I40" s="108">
        <f>2930020+92879*30.4</f>
        <v>5753541.5999999996</v>
      </c>
      <c r="J40" s="34"/>
    </row>
    <row r="41" spans="1:10">
      <c r="A41" s="62"/>
      <c r="B41" s="61" t="s">
        <v>65</v>
      </c>
      <c r="C41" s="70">
        <v>4387984</v>
      </c>
      <c r="D41" s="145"/>
      <c r="E41" s="70">
        <f>I41</f>
        <v>4667817.5999999996</v>
      </c>
      <c r="F41" s="71">
        <f>E41-C41</f>
        <v>279833.59999999963</v>
      </c>
      <c r="G41" s="104" t="s">
        <v>91</v>
      </c>
      <c r="H41" s="105"/>
      <c r="I41" s="106">
        <f>SUM(I42)</f>
        <v>4667817.5999999996</v>
      </c>
      <c r="J41" s="32"/>
    </row>
    <row r="42" spans="1:10">
      <c r="A42" s="62"/>
      <c r="B42" s="78"/>
      <c r="C42" s="241"/>
      <c r="D42" s="241"/>
      <c r="E42" s="241"/>
      <c r="F42" s="241"/>
      <c r="G42" s="107" t="s">
        <v>302</v>
      </c>
      <c r="H42" s="98" t="s">
        <v>27</v>
      </c>
      <c r="I42" s="108">
        <f>2353040+38072*2*30.4</f>
        <v>4667817.5999999996</v>
      </c>
      <c r="J42" s="34"/>
    </row>
    <row r="43" spans="1:10">
      <c r="A43" s="62"/>
      <c r="B43" s="61" t="s">
        <v>66</v>
      </c>
      <c r="C43" s="70">
        <v>43167</v>
      </c>
      <c r="D43" s="145"/>
      <c r="E43" s="70">
        <f>I43</f>
        <v>49817</v>
      </c>
      <c r="F43" s="71">
        <f>E43-C43</f>
        <v>6650</v>
      </c>
      <c r="G43" s="104" t="s">
        <v>90</v>
      </c>
      <c r="H43" s="105"/>
      <c r="I43" s="106">
        <f>SUM(I44:I45)</f>
        <v>49817</v>
      </c>
      <c r="J43" s="32"/>
    </row>
    <row r="44" spans="1:10">
      <c r="A44" s="62"/>
      <c r="B44" s="77"/>
      <c r="C44" s="242"/>
      <c r="D44" s="242"/>
      <c r="E44" s="242"/>
      <c r="F44" s="242"/>
      <c r="G44" s="107" t="s">
        <v>300</v>
      </c>
      <c r="H44" s="98" t="s">
        <v>27</v>
      </c>
      <c r="I44" s="108">
        <v>49817</v>
      </c>
      <c r="J44" s="34"/>
    </row>
    <row r="45" spans="1:10">
      <c r="A45" s="62"/>
      <c r="B45" s="77"/>
      <c r="C45" s="242"/>
      <c r="D45" s="242"/>
      <c r="E45" s="242"/>
      <c r="F45" s="242"/>
      <c r="G45" s="107"/>
      <c r="H45" s="98" t="s">
        <v>27</v>
      </c>
      <c r="I45" s="108"/>
      <c r="J45" s="34"/>
    </row>
    <row r="46" spans="1:10" s="123" customFormat="1" ht="16.5" customHeight="1">
      <c r="A46" s="122"/>
      <c r="B46" s="167" t="s">
        <v>67</v>
      </c>
      <c r="C46" s="298">
        <v>79461</v>
      </c>
      <c r="D46" s="235">
        <v>0</v>
      </c>
      <c r="E46" s="70">
        <f>I46</f>
        <v>30000</v>
      </c>
      <c r="F46" s="71">
        <f>E46-C46</f>
        <v>-49461</v>
      </c>
      <c r="G46" s="104" t="s">
        <v>105</v>
      </c>
      <c r="H46" s="160"/>
      <c r="I46" s="305">
        <f>I47</f>
        <v>30000</v>
      </c>
      <c r="J46" s="164"/>
    </row>
    <row r="47" spans="1:10" s="123" customFormat="1" ht="16.5" customHeight="1">
      <c r="A47" s="122"/>
      <c r="B47" s="168"/>
      <c r="C47" s="242"/>
      <c r="D47" s="242"/>
      <c r="E47" s="242"/>
      <c r="F47" s="242"/>
      <c r="G47" s="107" t="s">
        <v>303</v>
      </c>
      <c r="H47" s="99"/>
      <c r="I47" s="100">
        <v>30000</v>
      </c>
      <c r="J47" s="169"/>
    </row>
    <row r="48" spans="1:10" s="123" customFormat="1" ht="16.5" customHeight="1">
      <c r="A48" s="122"/>
      <c r="B48" s="170" t="s">
        <v>68</v>
      </c>
      <c r="C48" s="298">
        <v>0</v>
      </c>
      <c r="D48" s="235">
        <v>0</v>
      </c>
      <c r="E48" s="70">
        <f>I48</f>
        <v>88000</v>
      </c>
      <c r="F48" s="71">
        <f>E48-C48</f>
        <v>88000</v>
      </c>
      <c r="G48" s="163" t="s">
        <v>106</v>
      </c>
      <c r="H48" s="105"/>
      <c r="I48" s="106">
        <f>SUM(I49)</f>
        <v>88000</v>
      </c>
      <c r="J48" s="164"/>
    </row>
    <row r="49" spans="1:10" s="123" customFormat="1" ht="16.5" customHeight="1">
      <c r="A49" s="122"/>
      <c r="B49" s="171"/>
      <c r="C49" s="242"/>
      <c r="D49" s="242"/>
      <c r="E49" s="242"/>
      <c r="F49" s="242"/>
      <c r="G49" s="107" t="s">
        <v>173</v>
      </c>
      <c r="H49" s="98" t="s">
        <v>174</v>
      </c>
      <c r="I49" s="108">
        <v>88000</v>
      </c>
      <c r="J49" s="169"/>
    </row>
    <row r="50" spans="1:10" s="123" customFormat="1" ht="16.5" customHeight="1">
      <c r="A50" s="122"/>
      <c r="B50" s="170" t="s">
        <v>69</v>
      </c>
      <c r="C50" s="235">
        <v>0</v>
      </c>
      <c r="D50" s="235"/>
      <c r="E50" s="70">
        <f>I50</f>
        <v>1248285</v>
      </c>
      <c r="F50" s="71">
        <f>E50-C50</f>
        <v>1248285</v>
      </c>
      <c r="G50" s="163" t="s">
        <v>107</v>
      </c>
      <c r="H50" s="160"/>
      <c r="I50" s="305">
        <f>I51</f>
        <v>1248285</v>
      </c>
      <c r="J50" s="164"/>
    </row>
    <row r="51" spans="1:10" s="123" customFormat="1" ht="16.5" customHeight="1">
      <c r="A51" s="122"/>
      <c r="B51" s="171"/>
      <c r="C51" s="242"/>
      <c r="D51" s="242"/>
      <c r="E51" s="242"/>
      <c r="F51" s="242"/>
      <c r="G51" s="353" t="s">
        <v>344</v>
      </c>
      <c r="H51" s="99"/>
      <c r="I51" s="100">
        <v>1248285</v>
      </c>
      <c r="J51" s="169"/>
    </row>
    <row r="52" spans="1:10" s="123" customFormat="1" ht="16.5" customHeight="1">
      <c r="A52" s="122"/>
      <c r="B52" s="321" t="s">
        <v>119</v>
      </c>
      <c r="C52" s="301">
        <v>732200</v>
      </c>
      <c r="D52" s="324">
        <v>0</v>
      </c>
      <c r="E52" s="325">
        <f>I52</f>
        <v>625696</v>
      </c>
      <c r="F52" s="71">
        <f>E52-C52</f>
        <v>-106504</v>
      </c>
      <c r="G52" s="163" t="s">
        <v>108</v>
      </c>
      <c r="H52" s="105"/>
      <c r="I52" s="106">
        <f>SUM(I53:I55)</f>
        <v>625696</v>
      </c>
      <c r="J52" s="164"/>
    </row>
    <row r="53" spans="1:10" s="123" customFormat="1" ht="16.5" customHeight="1">
      <c r="A53" s="122"/>
      <c r="B53" s="165"/>
      <c r="C53" s="322"/>
      <c r="D53" s="323"/>
      <c r="E53" s="72"/>
      <c r="F53" s="73"/>
      <c r="G53" s="107" t="s">
        <v>346</v>
      </c>
      <c r="H53" s="98" t="s">
        <v>27</v>
      </c>
      <c r="I53" s="108">
        <v>161016</v>
      </c>
      <c r="J53" s="166"/>
    </row>
    <row r="54" spans="1:10" s="123" customFormat="1" ht="25.5" customHeight="1">
      <c r="A54" s="122"/>
      <c r="B54" s="165"/>
      <c r="C54" s="354"/>
      <c r="D54" s="355"/>
      <c r="E54" s="72"/>
      <c r="F54" s="73"/>
      <c r="G54" s="356" t="s">
        <v>347</v>
      </c>
      <c r="H54" s="98" t="s">
        <v>345</v>
      </c>
      <c r="I54" s="108">
        <v>112693</v>
      </c>
      <c r="J54" s="166"/>
    </row>
    <row r="55" spans="1:10" s="123" customFormat="1" ht="16.5" customHeight="1" thickBot="1">
      <c r="A55" s="122"/>
      <c r="B55" s="165"/>
      <c r="C55" s="242"/>
      <c r="D55" s="242"/>
      <c r="E55" s="242"/>
      <c r="F55" s="242"/>
      <c r="G55" s="107" t="s">
        <v>172</v>
      </c>
      <c r="H55" s="98" t="s">
        <v>169</v>
      </c>
      <c r="I55" s="108">
        <v>351987</v>
      </c>
      <c r="J55" s="166"/>
    </row>
    <row r="56" spans="1:10">
      <c r="A56" s="376" t="s">
        <v>15</v>
      </c>
      <c r="B56" s="377"/>
      <c r="C56" s="153">
        <f>SUM(C58+C62)</f>
        <v>68000</v>
      </c>
      <c r="D56" s="152">
        <v>0</v>
      </c>
      <c r="E56" s="153">
        <f>E58+E62</f>
        <v>11500</v>
      </c>
      <c r="F56" s="153">
        <f>SUM(F58,F62)</f>
        <v>-56500</v>
      </c>
      <c r="G56" s="154"/>
      <c r="H56" s="155"/>
      <c r="I56" s="156"/>
      <c r="J56" s="157"/>
    </row>
    <row r="57" spans="1:10">
      <c r="A57" s="158"/>
      <c r="B57" s="159"/>
      <c r="C57" s="243"/>
      <c r="D57" s="243"/>
      <c r="E57" s="243"/>
      <c r="F57" s="243"/>
      <c r="G57" s="29"/>
      <c r="H57" s="30"/>
      <c r="I57" s="31"/>
      <c r="J57" s="174"/>
    </row>
    <row r="58" spans="1:10">
      <c r="A58" s="60"/>
      <c r="B58" s="66" t="s">
        <v>76</v>
      </c>
      <c r="C58" s="70">
        <v>62000</v>
      </c>
      <c r="D58" s="145"/>
      <c r="E58" s="70">
        <f>I58+I60</f>
        <v>5500</v>
      </c>
      <c r="F58" s="71">
        <f>E58-C58</f>
        <v>-56500</v>
      </c>
      <c r="G58" s="281" t="s">
        <v>163</v>
      </c>
      <c r="H58" s="105"/>
      <c r="I58" s="106">
        <f>SUM(I59)</f>
        <v>3500</v>
      </c>
      <c r="J58" s="58"/>
    </row>
    <row r="59" spans="1:10">
      <c r="A59" s="62"/>
      <c r="B59" s="64"/>
      <c r="C59" s="242"/>
      <c r="D59" s="242"/>
      <c r="E59" s="242"/>
      <c r="F59" s="242"/>
      <c r="G59" s="149" t="s">
        <v>305</v>
      </c>
      <c r="H59" s="98" t="s">
        <v>27</v>
      </c>
      <c r="I59" s="108">
        <v>3500</v>
      </c>
      <c r="J59" s="59"/>
    </row>
    <row r="60" spans="1:10">
      <c r="A60" s="62"/>
      <c r="B60" s="64"/>
      <c r="C60" s="242"/>
      <c r="D60" s="242"/>
      <c r="E60" s="242"/>
      <c r="F60" s="242"/>
      <c r="G60" s="104" t="s">
        <v>86</v>
      </c>
      <c r="H60" s="105"/>
      <c r="I60" s="106">
        <f>SUM(I61)</f>
        <v>2000</v>
      </c>
      <c r="J60" s="58"/>
    </row>
    <row r="61" spans="1:10">
      <c r="A61" s="62"/>
      <c r="B61" s="64"/>
      <c r="C61" s="72"/>
      <c r="D61" s="146"/>
      <c r="E61" s="72"/>
      <c r="F61" s="72"/>
      <c r="G61" s="107" t="s">
        <v>220</v>
      </c>
      <c r="H61" s="98" t="s">
        <v>27</v>
      </c>
      <c r="I61" s="108">
        <f>100*3+1700</f>
        <v>2000</v>
      </c>
      <c r="J61" s="59"/>
    </row>
    <row r="62" spans="1:10">
      <c r="A62" s="62"/>
      <c r="B62" s="66" t="s">
        <v>77</v>
      </c>
      <c r="C62" s="70">
        <v>6000</v>
      </c>
      <c r="D62" s="145"/>
      <c r="E62" s="70">
        <f>I62+I64+I65</f>
        <v>6000</v>
      </c>
      <c r="F62" s="71">
        <f>E62-C62</f>
        <v>0</v>
      </c>
      <c r="G62" s="104" t="s">
        <v>85</v>
      </c>
      <c r="H62" s="105"/>
      <c r="I62" s="106">
        <f>SUM(I63)</f>
        <v>6000</v>
      </c>
      <c r="J62" s="58"/>
    </row>
    <row r="63" spans="1:10">
      <c r="A63" s="62"/>
      <c r="B63" s="64"/>
      <c r="C63" s="242"/>
      <c r="D63" s="242"/>
      <c r="E63" s="242"/>
      <c r="F63" s="242"/>
      <c r="G63" s="107" t="s">
        <v>219</v>
      </c>
      <c r="H63" s="98" t="s">
        <v>27</v>
      </c>
      <c r="I63" s="108">
        <f>3000*2</f>
        <v>6000</v>
      </c>
      <c r="J63" s="59"/>
    </row>
    <row r="64" spans="1:10">
      <c r="A64" s="62"/>
      <c r="B64" s="64"/>
      <c r="C64" s="72"/>
      <c r="D64" s="146"/>
      <c r="E64" s="72"/>
      <c r="F64" s="72"/>
      <c r="G64" s="104" t="s">
        <v>206</v>
      </c>
      <c r="H64" s="105"/>
      <c r="I64" s="207">
        <v>0</v>
      </c>
      <c r="J64" s="58"/>
    </row>
    <row r="65" spans="1:10">
      <c r="A65" s="62"/>
      <c r="B65" s="64"/>
      <c r="C65" s="72"/>
      <c r="D65" s="146"/>
      <c r="E65" s="72"/>
      <c r="F65" s="72"/>
      <c r="G65" s="297" t="s">
        <v>87</v>
      </c>
      <c r="H65" s="319"/>
      <c r="I65" s="305">
        <f>SUM(I66:I66)</f>
        <v>0</v>
      </c>
      <c r="J65" s="58"/>
    </row>
    <row r="66" spans="1:10" ht="17.25" thickBot="1">
      <c r="A66" s="65"/>
      <c r="B66" s="172"/>
      <c r="C66" s="75"/>
      <c r="D66" s="148"/>
      <c r="E66" s="75"/>
      <c r="F66" s="75"/>
      <c r="G66" s="107"/>
      <c r="H66" s="98" t="s">
        <v>27</v>
      </c>
      <c r="I66" s="310"/>
      <c r="J66" s="173"/>
    </row>
    <row r="67" spans="1:10">
      <c r="A67" s="376" t="s">
        <v>16</v>
      </c>
      <c r="B67" s="377"/>
      <c r="C67" s="311">
        <f>SUM(C69:C74)</f>
        <v>0</v>
      </c>
      <c r="D67" s="237">
        <v>0</v>
      </c>
      <c r="E67" s="311">
        <f>E69+E71+E73</f>
        <v>100000</v>
      </c>
      <c r="F67" s="311">
        <v>0</v>
      </c>
      <c r="G67" s="154"/>
      <c r="H67" s="155"/>
      <c r="I67" s="156"/>
      <c r="J67" s="157"/>
    </row>
    <row r="68" spans="1:10">
      <c r="A68" s="158"/>
      <c r="B68" s="159"/>
      <c r="C68" s="243"/>
      <c r="D68" s="243"/>
      <c r="E68" s="243"/>
      <c r="F68" s="243"/>
      <c r="G68" s="29"/>
      <c r="H68" s="30"/>
      <c r="I68" s="31"/>
      <c r="J68" s="35"/>
    </row>
    <row r="69" spans="1:10" ht="16.5" customHeight="1">
      <c r="A69" s="62"/>
      <c r="B69" s="236" t="s">
        <v>70</v>
      </c>
      <c r="C69" s="298">
        <v>0</v>
      </c>
      <c r="D69" s="235">
        <v>0</v>
      </c>
      <c r="E69" s="70">
        <f>I69</f>
        <v>100000</v>
      </c>
      <c r="F69" s="71">
        <f>E69-C69</f>
        <v>100000</v>
      </c>
      <c r="G69" s="175" t="s">
        <v>99</v>
      </c>
      <c r="H69" s="98"/>
      <c r="I69" s="305">
        <f>I70</f>
        <v>100000</v>
      </c>
      <c r="J69" s="34"/>
    </row>
    <row r="70" spans="1:10" ht="16.5" customHeight="1">
      <c r="A70" s="62"/>
      <c r="B70" s="176"/>
      <c r="C70" s="242"/>
      <c r="D70" s="242"/>
      <c r="E70" s="242"/>
      <c r="F70" s="242"/>
      <c r="G70" s="107" t="s">
        <v>353</v>
      </c>
      <c r="H70" s="99"/>
      <c r="I70" s="100">
        <v>100000</v>
      </c>
      <c r="J70" s="76"/>
    </row>
    <row r="71" spans="1:10">
      <c r="A71" s="62"/>
      <c r="B71" s="61" t="s">
        <v>71</v>
      </c>
      <c r="C71" s="235">
        <v>0</v>
      </c>
      <c r="D71" s="235">
        <v>0</v>
      </c>
      <c r="E71" s="70">
        <f>I71</f>
        <v>0</v>
      </c>
      <c r="F71" s="71">
        <f>E71-C71</f>
        <v>0</v>
      </c>
      <c r="G71" s="104" t="s">
        <v>100</v>
      </c>
      <c r="H71" s="160"/>
      <c r="I71" s="207">
        <v>0</v>
      </c>
      <c r="J71" s="32"/>
    </row>
    <row r="72" spans="1:10">
      <c r="A72" s="62"/>
      <c r="B72" s="78"/>
      <c r="C72" s="242"/>
      <c r="D72" s="242"/>
      <c r="E72" s="242"/>
      <c r="F72" s="242"/>
      <c r="G72" s="129"/>
      <c r="H72" s="99"/>
      <c r="I72" s="100"/>
      <c r="J72" s="76"/>
    </row>
    <row r="73" spans="1:10">
      <c r="A73" s="62"/>
      <c r="B73" s="64" t="s">
        <v>72</v>
      </c>
      <c r="C73" s="235">
        <v>0</v>
      </c>
      <c r="D73" s="235">
        <v>0</v>
      </c>
      <c r="E73" s="70">
        <f>I73</f>
        <v>0</v>
      </c>
      <c r="F73" s="71">
        <f>E73-C73</f>
        <v>0</v>
      </c>
      <c r="G73" s="175" t="s">
        <v>101</v>
      </c>
      <c r="H73" s="98"/>
      <c r="I73" s="207">
        <v>0</v>
      </c>
      <c r="J73" s="34"/>
    </row>
    <row r="74" spans="1:10" ht="17.25" thickBot="1">
      <c r="A74" s="62"/>
      <c r="B74" s="64"/>
      <c r="C74" s="242"/>
      <c r="D74" s="242"/>
      <c r="E74" s="242"/>
      <c r="F74" s="242"/>
      <c r="G74" s="175"/>
      <c r="H74" s="98"/>
      <c r="I74" s="108"/>
      <c r="J74" s="34"/>
    </row>
    <row r="75" spans="1:10">
      <c r="A75" s="376" t="s">
        <v>17</v>
      </c>
      <c r="B75" s="377"/>
      <c r="C75" s="153">
        <f>SUM(C77:C86)</f>
        <v>1688669</v>
      </c>
      <c r="D75" s="152">
        <v>0</v>
      </c>
      <c r="E75" s="153">
        <f>E77+E79+E83+E85</f>
        <v>1688669</v>
      </c>
      <c r="F75" s="153">
        <f>SUM(F77,F79,F83,F85)</f>
        <v>0</v>
      </c>
      <c r="G75" s="154"/>
      <c r="H75" s="155"/>
      <c r="I75" s="156"/>
      <c r="J75" s="157"/>
    </row>
    <row r="76" spans="1:10">
      <c r="A76" s="158"/>
      <c r="B76" s="159"/>
      <c r="C76" s="239"/>
      <c r="D76" s="239"/>
      <c r="E76" s="239"/>
      <c r="F76" s="239"/>
      <c r="G76" s="29"/>
      <c r="H76" s="30"/>
      <c r="I76" s="31"/>
      <c r="J76" s="35"/>
    </row>
    <row r="77" spans="1:10">
      <c r="A77" s="60"/>
      <c r="B77" s="61" t="s">
        <v>73</v>
      </c>
      <c r="C77" s="235">
        <v>0</v>
      </c>
      <c r="D77" s="235">
        <v>0</v>
      </c>
      <c r="E77" s="70">
        <f>I77</f>
        <v>0</v>
      </c>
      <c r="F77" s="71">
        <f>E77-C77</f>
        <v>0</v>
      </c>
      <c r="G77" s="104" t="s">
        <v>164</v>
      </c>
      <c r="H77" s="160"/>
      <c r="I77" s="207">
        <v>0</v>
      </c>
      <c r="J77" s="32"/>
    </row>
    <row r="78" spans="1:10">
      <c r="A78" s="62"/>
      <c r="B78" s="64"/>
      <c r="C78" s="242"/>
      <c r="D78" s="242"/>
      <c r="E78" s="242"/>
      <c r="F78" s="242"/>
      <c r="G78" s="177"/>
      <c r="H78" s="98"/>
      <c r="I78" s="108"/>
      <c r="J78" s="59"/>
    </row>
    <row r="79" spans="1:10">
      <c r="A79" s="62"/>
      <c r="B79" s="66" t="s">
        <v>74</v>
      </c>
      <c r="C79" s="70">
        <v>1688669</v>
      </c>
      <c r="D79" s="145"/>
      <c r="E79" s="70">
        <f>I79+I81+I82</f>
        <v>1688669</v>
      </c>
      <c r="F79" s="71">
        <f>E79-C79</f>
        <v>0</v>
      </c>
      <c r="G79" s="104" t="s">
        <v>88</v>
      </c>
      <c r="H79" s="105"/>
      <c r="I79" s="305">
        <f>I80</f>
        <v>1688669</v>
      </c>
      <c r="J79" s="58"/>
    </row>
    <row r="80" spans="1:10">
      <c r="A80" s="62"/>
      <c r="B80" s="64"/>
      <c r="C80" s="72"/>
      <c r="D80" s="146"/>
      <c r="E80" s="72"/>
      <c r="F80" s="320"/>
      <c r="G80" s="341" t="s">
        <v>267</v>
      </c>
      <c r="H80" s="347" t="s">
        <v>27</v>
      </c>
      <c r="I80" s="348">
        <v>1688669</v>
      </c>
      <c r="J80" s="58"/>
    </row>
    <row r="81" spans="1:10">
      <c r="A81" s="62"/>
      <c r="B81" s="64"/>
      <c r="C81" s="307"/>
      <c r="D81" s="308"/>
      <c r="E81" s="307"/>
      <c r="F81" s="72"/>
      <c r="G81" s="175" t="s">
        <v>148</v>
      </c>
      <c r="H81" s="346"/>
      <c r="I81" s="137">
        <v>0</v>
      </c>
      <c r="J81" s="58"/>
    </row>
    <row r="82" spans="1:10">
      <c r="A82" s="62"/>
      <c r="B82" s="64"/>
      <c r="C82" s="72"/>
      <c r="D82" s="146"/>
      <c r="E82" s="72"/>
      <c r="F82" s="72"/>
      <c r="G82" s="104" t="s">
        <v>255</v>
      </c>
      <c r="H82" s="105"/>
      <c r="I82" s="305"/>
      <c r="J82" s="58"/>
    </row>
    <row r="83" spans="1:10">
      <c r="A83" s="62"/>
      <c r="B83" s="61" t="s">
        <v>53</v>
      </c>
      <c r="C83" s="235">
        <v>0</v>
      </c>
      <c r="D83" s="235">
        <v>0</v>
      </c>
      <c r="E83" s="70">
        <f>I83</f>
        <v>0</v>
      </c>
      <c r="F83" s="71">
        <f>E83-C83</f>
        <v>0</v>
      </c>
      <c r="G83" s="104" t="s">
        <v>103</v>
      </c>
      <c r="H83" s="160"/>
      <c r="I83" s="207">
        <v>0</v>
      </c>
      <c r="J83" s="32"/>
    </row>
    <row r="84" spans="1:10">
      <c r="A84" s="62"/>
      <c r="B84" s="64"/>
      <c r="C84" s="242"/>
      <c r="D84" s="242"/>
      <c r="E84" s="242"/>
      <c r="F84" s="242"/>
      <c r="G84" s="175"/>
      <c r="H84" s="98"/>
      <c r="I84" s="108"/>
      <c r="J84" s="34"/>
    </row>
    <row r="85" spans="1:10">
      <c r="A85" s="62"/>
      <c r="B85" s="66" t="s">
        <v>75</v>
      </c>
      <c r="C85" s="235">
        <v>0</v>
      </c>
      <c r="D85" s="235">
        <v>0</v>
      </c>
      <c r="E85" s="70">
        <f>I85</f>
        <v>0</v>
      </c>
      <c r="F85" s="71">
        <f>E85-C85</f>
        <v>0</v>
      </c>
      <c r="G85" s="178" t="s">
        <v>104</v>
      </c>
      <c r="H85" s="179"/>
      <c r="I85" s="207">
        <v>0</v>
      </c>
      <c r="J85" s="32"/>
    </row>
    <row r="86" spans="1:10" ht="17.25" thickBot="1">
      <c r="A86" s="62"/>
      <c r="B86" s="64"/>
      <c r="C86" s="242"/>
      <c r="D86" s="242"/>
      <c r="E86" s="242"/>
      <c r="F86" s="242"/>
      <c r="G86" s="181"/>
      <c r="H86" s="180"/>
      <c r="I86" s="182"/>
      <c r="J86" s="34"/>
    </row>
    <row r="87" spans="1:10">
      <c r="A87" s="378" t="s">
        <v>18</v>
      </c>
      <c r="B87" s="379"/>
      <c r="C87" s="184">
        <f>C75+C67+C56+C37+C7</f>
        <v>18492445</v>
      </c>
      <c r="D87" s="183">
        <v>0</v>
      </c>
      <c r="E87" s="184">
        <f>SUM(E75,E67,E56,E37,E7)</f>
        <v>19595268.199999999</v>
      </c>
      <c r="F87" s="294">
        <f>E87-C87</f>
        <v>1102823.1999999993</v>
      </c>
      <c r="G87" s="189"/>
      <c r="H87" s="190"/>
      <c r="I87" s="188"/>
      <c r="J87" s="185"/>
    </row>
    <row r="88" spans="1:10" ht="17.25" thickBot="1">
      <c r="A88" s="187"/>
      <c r="B88" s="186"/>
      <c r="C88" s="244"/>
      <c r="D88" s="244"/>
      <c r="E88" s="244"/>
      <c r="F88" s="244"/>
      <c r="G88" s="36"/>
      <c r="H88" s="37"/>
      <c r="I88" s="38"/>
      <c r="J88" s="39"/>
    </row>
    <row r="89" spans="1:10">
      <c r="A89" s="67" t="s">
        <v>19</v>
      </c>
      <c r="B89" s="68"/>
      <c r="C89" s="90"/>
      <c r="D89" s="69"/>
      <c r="E89" s="69"/>
      <c r="F89" s="69"/>
    </row>
    <row r="90" spans="1:10">
      <c r="E90" s="1"/>
      <c r="F90" s="1"/>
    </row>
  </sheetData>
  <mergeCells count="13">
    <mergeCell ref="A75:B75"/>
    <mergeCell ref="A87:B87"/>
    <mergeCell ref="A1:J1"/>
    <mergeCell ref="A2:J2"/>
    <mergeCell ref="A3:J3"/>
    <mergeCell ref="A4:J4"/>
    <mergeCell ref="A5:B6"/>
    <mergeCell ref="J5:J6"/>
    <mergeCell ref="A7:B7"/>
    <mergeCell ref="A37:B37"/>
    <mergeCell ref="A56:B56"/>
    <mergeCell ref="A67:B67"/>
    <mergeCell ref="G5:I6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95" orientation="portrait" r:id="rId1"/>
  <headerFooter>
    <oddFooter>&amp;N페이지 중 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42"/>
  <sheetViews>
    <sheetView zoomScale="130" zoomScaleNormal="130" workbookViewId="0">
      <pane xSplit="1" ySplit="4" topLeftCell="B104" activePane="bottomRight" state="frozen"/>
      <selection pane="topRight" activeCell="B1" sqref="B1"/>
      <selection pane="bottomLeft" activeCell="A5" sqref="A5"/>
      <selection pane="bottomRight" activeCell="I236" sqref="I236"/>
    </sheetView>
  </sheetViews>
  <sheetFormatPr defaultRowHeight="16.5"/>
  <cols>
    <col min="1" max="1" width="1.75" style="16" customWidth="1"/>
    <col min="2" max="2" width="10.625" style="16" customWidth="1"/>
    <col min="3" max="3" width="14.875" style="8" bestFit="1" customWidth="1"/>
    <col min="4" max="4" width="0" style="8" hidden="1" customWidth="1"/>
    <col min="5" max="5" width="15.5" style="8" bestFit="1" customWidth="1"/>
    <col min="6" max="6" width="10.25" style="69" customWidth="1"/>
    <col min="7" max="7" width="39.5" style="10" customWidth="1"/>
    <col min="8" max="8" width="2.125" style="3" customWidth="1"/>
    <col min="9" max="9" width="10.375" style="13" customWidth="1"/>
    <col min="10" max="10" width="5.75" style="2" customWidth="1"/>
    <col min="11" max="11" width="9" style="2"/>
    <col min="12" max="12" width="9.625" style="2" bestFit="1" customWidth="1"/>
    <col min="13" max="16384" width="9" style="2"/>
  </cols>
  <sheetData>
    <row r="1" spans="1:11" ht="18.75">
      <c r="A1" s="382" t="s">
        <v>20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1" ht="17.25" thickBot="1">
      <c r="A2" s="383" t="s">
        <v>218</v>
      </c>
      <c r="B2" s="383"/>
      <c r="C2" s="383"/>
      <c r="D2" s="383"/>
      <c r="E2" s="383"/>
      <c r="F2" s="383"/>
      <c r="G2" s="383"/>
      <c r="H2" s="383"/>
      <c r="I2" s="383"/>
      <c r="J2" s="383"/>
    </row>
    <row r="3" spans="1:11" ht="22.5">
      <c r="A3" s="398" t="s">
        <v>1</v>
      </c>
      <c r="B3" s="399"/>
      <c r="C3" s="4" t="s">
        <v>2</v>
      </c>
      <c r="D3" s="4" t="s">
        <v>4</v>
      </c>
      <c r="E3" s="4" t="s">
        <v>6</v>
      </c>
      <c r="F3" s="80" t="s">
        <v>8</v>
      </c>
      <c r="G3" s="404" t="s">
        <v>265</v>
      </c>
      <c r="H3" s="405"/>
      <c r="I3" s="406"/>
      <c r="J3" s="402" t="s">
        <v>28</v>
      </c>
      <c r="K3" s="3"/>
    </row>
    <row r="4" spans="1:11" ht="17.25" thickBot="1">
      <c r="A4" s="400"/>
      <c r="B4" s="401"/>
      <c r="C4" s="92" t="s">
        <v>3</v>
      </c>
      <c r="D4" s="92" t="s">
        <v>5</v>
      </c>
      <c r="E4" s="92" t="s">
        <v>7</v>
      </c>
      <c r="F4" s="93" t="s">
        <v>9</v>
      </c>
      <c r="G4" s="407"/>
      <c r="H4" s="408"/>
      <c r="I4" s="409"/>
      <c r="J4" s="403"/>
    </row>
    <row r="5" spans="1:11">
      <c r="A5" s="396" t="s">
        <v>21</v>
      </c>
      <c r="B5" s="397"/>
      <c r="C5" s="197">
        <f>SUM(C7,C22,C39)</f>
        <v>9165380</v>
      </c>
      <c r="D5" s="197">
        <v>0</v>
      </c>
      <c r="E5" s="197">
        <f>SUM(E7,E22,E39)</f>
        <v>9090821</v>
      </c>
      <c r="F5" s="198">
        <f>E5-C5</f>
        <v>-74559</v>
      </c>
      <c r="G5" s="199"/>
      <c r="H5" s="200"/>
      <c r="I5" s="201"/>
      <c r="J5" s="202"/>
    </row>
    <row r="6" spans="1:11">
      <c r="A6" s="191"/>
      <c r="B6" s="192"/>
      <c r="C6" s="243"/>
      <c r="D6" s="243"/>
      <c r="E6" s="243"/>
      <c r="F6" s="243"/>
      <c r="G6" s="193"/>
      <c r="H6" s="194"/>
      <c r="I6" s="195"/>
      <c r="J6" s="196"/>
    </row>
    <row r="7" spans="1:11" ht="16.5" customHeight="1">
      <c r="A7" s="22"/>
      <c r="B7" s="57" t="s">
        <v>81</v>
      </c>
      <c r="C7" s="5">
        <v>6655300</v>
      </c>
      <c r="D7" s="5"/>
      <c r="E7" s="5">
        <f>SUM(I7,I10,I18,I20)</f>
        <v>6227301</v>
      </c>
      <c r="F7" s="81">
        <f>E7-C7</f>
        <v>-427999</v>
      </c>
      <c r="G7" s="101" t="s">
        <v>41</v>
      </c>
      <c r="H7" s="102"/>
      <c r="I7" s="103">
        <f>SUM(I8:I9)</f>
        <v>3191750</v>
      </c>
      <c r="J7" s="42"/>
    </row>
    <row r="8" spans="1:11" ht="16.5" customHeight="1">
      <c r="A8" s="24"/>
      <c r="B8" s="296"/>
      <c r="C8" s="242"/>
      <c r="D8" s="242"/>
      <c r="E8" s="242"/>
      <c r="F8" s="242"/>
      <c r="G8" s="47" t="s">
        <v>308</v>
      </c>
      <c r="H8" s="283" t="s">
        <v>27</v>
      </c>
      <c r="I8" s="49">
        <f>45000*5*6+45000*4*6</f>
        <v>2430000</v>
      </c>
      <c r="J8" s="43"/>
    </row>
    <row r="9" spans="1:11">
      <c r="A9" s="23"/>
      <c r="B9" s="15"/>
      <c r="C9" s="242"/>
      <c r="D9" s="242"/>
      <c r="E9" s="242"/>
      <c r="F9" s="242"/>
      <c r="G9" s="47" t="s">
        <v>306</v>
      </c>
      <c r="H9" s="283" t="s">
        <v>27</v>
      </c>
      <c r="I9" s="49">
        <f>550*1*87*5+550*2*95*5</f>
        <v>761750</v>
      </c>
      <c r="J9" s="43"/>
    </row>
    <row r="10" spans="1:11">
      <c r="A10" s="23"/>
      <c r="B10" s="15"/>
      <c r="C10" s="6"/>
      <c r="D10" s="6"/>
      <c r="E10" s="6"/>
      <c r="F10" s="82"/>
      <c r="G10" s="101" t="s">
        <v>55</v>
      </c>
      <c r="H10" s="102"/>
      <c r="I10" s="103">
        <f>SUM(I11:I17)</f>
        <v>2452000</v>
      </c>
      <c r="J10" s="42"/>
    </row>
    <row r="11" spans="1:11">
      <c r="A11" s="23"/>
      <c r="B11" s="15"/>
      <c r="C11" s="6"/>
      <c r="D11" s="6"/>
      <c r="E11" s="6"/>
      <c r="F11" s="82"/>
      <c r="G11" s="47" t="s">
        <v>309</v>
      </c>
      <c r="H11" s="283" t="s">
        <v>27</v>
      </c>
      <c r="I11" s="49">
        <f>4000*5*6+4000*4*6</f>
        <v>216000</v>
      </c>
      <c r="J11" s="43"/>
    </row>
    <row r="12" spans="1:11">
      <c r="A12" s="23"/>
      <c r="B12" s="15"/>
      <c r="C12" s="6"/>
      <c r="D12" s="6"/>
      <c r="E12" s="6"/>
      <c r="F12" s="82"/>
      <c r="G12" s="47" t="s">
        <v>307</v>
      </c>
      <c r="H12" s="283" t="s">
        <v>27</v>
      </c>
      <c r="I12" s="49">
        <f>4000*1*12+2000*2*6</f>
        <v>72000</v>
      </c>
      <c r="J12" s="43"/>
    </row>
    <row r="13" spans="1:11">
      <c r="A13" s="23"/>
      <c r="B13" s="15"/>
      <c r="C13" s="6"/>
      <c r="D13" s="6"/>
      <c r="E13" s="6"/>
      <c r="F13" s="82"/>
      <c r="G13" s="313" t="s">
        <v>310</v>
      </c>
      <c r="H13" s="330" t="s">
        <v>27</v>
      </c>
      <c r="I13" s="314">
        <f>7000*5*6+7000*4*6</f>
        <v>378000</v>
      </c>
      <c r="J13" s="43"/>
    </row>
    <row r="14" spans="1:11">
      <c r="A14" s="23"/>
      <c r="B14" s="15"/>
      <c r="C14" s="6"/>
      <c r="D14" s="6"/>
      <c r="E14" s="6"/>
      <c r="F14" s="82"/>
      <c r="G14" s="313" t="s">
        <v>311</v>
      </c>
      <c r="H14" s="330" t="s">
        <v>27</v>
      </c>
      <c r="I14" s="314">
        <f>18000*2*6+18000*1*3+20000*4*11</f>
        <v>1150000</v>
      </c>
      <c r="J14" s="43"/>
    </row>
    <row r="15" spans="1:11">
      <c r="A15" s="23"/>
      <c r="B15" s="15"/>
      <c r="C15" s="6"/>
      <c r="D15" s="6"/>
      <c r="E15" s="6"/>
      <c r="F15" s="82"/>
      <c r="G15" s="86" t="s">
        <v>313</v>
      </c>
      <c r="H15" s="87" t="s">
        <v>111</v>
      </c>
      <c r="I15" s="88">
        <f>33000*6+7000*4*6</f>
        <v>366000</v>
      </c>
      <c r="J15" s="89"/>
    </row>
    <row r="16" spans="1:11">
      <c r="A16" s="23"/>
      <c r="B16" s="15"/>
      <c r="C16" s="6"/>
      <c r="D16" s="6"/>
      <c r="E16" s="6"/>
      <c r="F16" s="82"/>
      <c r="G16" s="47" t="s">
        <v>312</v>
      </c>
      <c r="H16" s="283" t="s">
        <v>27</v>
      </c>
      <c r="I16" s="49">
        <f>4000*5*6+4000*4*6</f>
        <v>216000</v>
      </c>
      <c r="J16" s="43"/>
    </row>
    <row r="17" spans="1:10">
      <c r="A17" s="23"/>
      <c r="B17" s="15"/>
      <c r="C17" s="6"/>
      <c r="D17" s="6"/>
      <c r="E17" s="6"/>
      <c r="F17" s="82"/>
      <c r="G17" s="51" t="s">
        <v>189</v>
      </c>
      <c r="H17" s="286" t="s">
        <v>34</v>
      </c>
      <c r="I17" s="53">
        <f>300*5*3*12</f>
        <v>54000</v>
      </c>
      <c r="J17" s="44"/>
    </row>
    <row r="18" spans="1:10">
      <c r="A18" s="23"/>
      <c r="B18" s="15"/>
      <c r="C18" s="6"/>
      <c r="D18" s="6"/>
      <c r="E18" s="6"/>
      <c r="F18" s="82"/>
      <c r="G18" s="101" t="s">
        <v>56</v>
      </c>
      <c r="H18" s="102"/>
      <c r="I18" s="103">
        <f>SUM(I19)</f>
        <v>216000</v>
      </c>
      <c r="J18" s="42"/>
    </row>
    <row r="19" spans="1:10">
      <c r="A19" s="23"/>
      <c r="B19" s="15"/>
      <c r="C19" s="6"/>
      <c r="D19" s="6"/>
      <c r="E19" s="6"/>
      <c r="F19" s="82"/>
      <c r="G19" s="51" t="s">
        <v>314</v>
      </c>
      <c r="H19" s="286" t="s">
        <v>34</v>
      </c>
      <c r="I19" s="53">
        <f>45000*4*2*0.6</f>
        <v>216000</v>
      </c>
      <c r="J19" s="44"/>
    </row>
    <row r="20" spans="1:10">
      <c r="A20" s="23"/>
      <c r="B20" s="15"/>
      <c r="C20" s="6"/>
      <c r="D20" s="6"/>
      <c r="E20" s="6"/>
      <c r="F20" s="82"/>
      <c r="G20" s="101" t="s">
        <v>78</v>
      </c>
      <c r="H20" s="102"/>
      <c r="I20" s="103">
        <f>SUM(I21)</f>
        <v>367551</v>
      </c>
      <c r="J20" s="55"/>
    </row>
    <row r="21" spans="1:10">
      <c r="A21" s="23"/>
      <c r="B21" s="15"/>
      <c r="C21" s="6"/>
      <c r="D21" s="6"/>
      <c r="E21" s="6"/>
      <c r="F21" s="82"/>
      <c r="G21" s="51" t="s">
        <v>315</v>
      </c>
      <c r="H21" s="286" t="s">
        <v>34</v>
      </c>
      <c r="I21" s="53">
        <f>25000*6+22000*6+85551</f>
        <v>367551</v>
      </c>
      <c r="J21" s="54"/>
    </row>
    <row r="22" spans="1:10" ht="16.5" customHeight="1">
      <c r="A22" s="24"/>
      <c r="B22" s="410" t="s">
        <v>80</v>
      </c>
      <c r="C22" s="5">
        <v>1916080</v>
      </c>
      <c r="D22" s="5"/>
      <c r="E22" s="5">
        <f>SUM(I22,I27,I34,I36)</f>
        <v>2013280</v>
      </c>
      <c r="F22" s="81">
        <f>E22-C22</f>
        <v>97200</v>
      </c>
      <c r="G22" s="101" t="s">
        <v>41</v>
      </c>
      <c r="H22" s="102"/>
      <c r="I22" s="103">
        <f>SUM(I23:I26)</f>
        <v>1238880</v>
      </c>
      <c r="J22" s="42"/>
    </row>
    <row r="23" spans="1:10" s="12" customFormat="1">
      <c r="A23" s="282"/>
      <c r="B23" s="411"/>
      <c r="C23" s="284"/>
      <c r="D23" s="284"/>
      <c r="E23" s="284"/>
      <c r="F23" s="284"/>
      <c r="G23" s="47" t="s">
        <v>207</v>
      </c>
      <c r="H23" s="283" t="s">
        <v>27</v>
      </c>
      <c r="I23" s="49">
        <f>45000*12</f>
        <v>540000</v>
      </c>
      <c r="J23" s="50"/>
    </row>
    <row r="24" spans="1:10" s="12" customFormat="1">
      <c r="A24" s="282"/>
      <c r="B24" s="312"/>
      <c r="C24" s="284"/>
      <c r="D24" s="284"/>
      <c r="E24" s="284"/>
      <c r="F24" s="284"/>
      <c r="G24" s="47" t="s">
        <v>316</v>
      </c>
      <c r="H24" s="283" t="s">
        <v>27</v>
      </c>
      <c r="I24" s="49">
        <f>25000*6+32000*6</f>
        <v>342000</v>
      </c>
      <c r="J24" s="50"/>
    </row>
    <row r="25" spans="1:10" s="12" customFormat="1">
      <c r="A25" s="282"/>
      <c r="B25" s="285"/>
      <c r="C25" s="115"/>
      <c r="D25" s="115"/>
      <c r="E25" s="115"/>
      <c r="F25" s="116"/>
      <c r="G25" s="47" t="s">
        <v>236</v>
      </c>
      <c r="H25" s="283" t="s">
        <v>27</v>
      </c>
      <c r="I25" s="49">
        <f>170*8*183</f>
        <v>248880</v>
      </c>
      <c r="J25" s="50"/>
    </row>
    <row r="26" spans="1:10" s="12" customFormat="1">
      <c r="A26" s="282"/>
      <c r="B26" s="114"/>
      <c r="C26" s="115"/>
      <c r="D26" s="115"/>
      <c r="E26" s="115"/>
      <c r="F26" s="116"/>
      <c r="G26" s="47" t="s">
        <v>237</v>
      </c>
      <c r="H26" s="283" t="s">
        <v>27</v>
      </c>
      <c r="I26" s="49">
        <f>150*1*4*180</f>
        <v>108000</v>
      </c>
      <c r="J26" s="50"/>
    </row>
    <row r="27" spans="1:10" s="12" customFormat="1">
      <c r="A27" s="282"/>
      <c r="B27" s="114"/>
      <c r="C27" s="115"/>
      <c r="D27" s="115"/>
      <c r="E27" s="115"/>
      <c r="F27" s="116"/>
      <c r="G27" s="101" t="s">
        <v>55</v>
      </c>
      <c r="H27" s="102"/>
      <c r="I27" s="103">
        <f>SUM(I28:I33)</f>
        <v>583600</v>
      </c>
      <c r="J27" s="55"/>
    </row>
    <row r="28" spans="1:10" s="12" customFormat="1">
      <c r="A28" s="282"/>
      <c r="B28" s="114"/>
      <c r="C28" s="115"/>
      <c r="D28" s="115"/>
      <c r="E28" s="115"/>
      <c r="F28" s="116"/>
      <c r="G28" s="47" t="s">
        <v>264</v>
      </c>
      <c r="H28" s="283" t="s">
        <v>27</v>
      </c>
      <c r="I28" s="49">
        <f>4000*12</f>
        <v>48000</v>
      </c>
      <c r="J28" s="50"/>
    </row>
    <row r="29" spans="1:10" s="12" customFormat="1">
      <c r="A29" s="282"/>
      <c r="B29" s="114"/>
      <c r="C29" s="115"/>
      <c r="D29" s="115"/>
      <c r="E29" s="115"/>
      <c r="F29" s="116"/>
      <c r="G29" s="313" t="s">
        <v>317</v>
      </c>
      <c r="H29" s="330" t="s">
        <v>27</v>
      </c>
      <c r="I29" s="314">
        <f>6000*12</f>
        <v>72000</v>
      </c>
      <c r="J29" s="50"/>
    </row>
    <row r="30" spans="1:10" s="12" customFormat="1">
      <c r="A30" s="282"/>
      <c r="B30" s="114"/>
      <c r="C30" s="115"/>
      <c r="D30" s="115"/>
      <c r="E30" s="115"/>
      <c r="F30" s="116"/>
      <c r="G30" s="313" t="s">
        <v>266</v>
      </c>
      <c r="H30" s="330" t="s">
        <v>27</v>
      </c>
      <c r="I30" s="314">
        <f>7000*2*12</f>
        <v>168000</v>
      </c>
      <c r="J30" s="50"/>
    </row>
    <row r="31" spans="1:10" s="12" customFormat="1">
      <c r="A31" s="282"/>
      <c r="B31" s="114"/>
      <c r="C31" s="115"/>
      <c r="D31" s="115"/>
      <c r="E31" s="115"/>
      <c r="F31" s="116"/>
      <c r="G31" s="313" t="s">
        <v>270</v>
      </c>
      <c r="H31" s="330" t="s">
        <v>27</v>
      </c>
      <c r="I31" s="314">
        <f>2000*1*11</f>
        <v>22000</v>
      </c>
      <c r="J31" s="50"/>
    </row>
    <row r="32" spans="1:10" s="12" customFormat="1" ht="17.25" customHeight="1">
      <c r="A32" s="282"/>
      <c r="B32" s="114"/>
      <c r="C32" s="115"/>
      <c r="D32" s="115"/>
      <c r="E32" s="115"/>
      <c r="F32" s="116"/>
      <c r="G32" s="313" t="s">
        <v>269</v>
      </c>
      <c r="H32" s="330" t="s">
        <v>27</v>
      </c>
      <c r="I32" s="314">
        <f>18000*12</f>
        <v>216000</v>
      </c>
      <c r="J32" s="50"/>
    </row>
    <row r="33" spans="1:10" s="12" customFormat="1">
      <c r="A33" s="282"/>
      <c r="B33" s="114"/>
      <c r="C33" s="115"/>
      <c r="D33" s="115"/>
      <c r="E33" s="115"/>
      <c r="F33" s="116"/>
      <c r="G33" s="51" t="s">
        <v>190</v>
      </c>
      <c r="H33" s="286" t="s">
        <v>27</v>
      </c>
      <c r="I33" s="53">
        <f>300*2*8*12</f>
        <v>57600</v>
      </c>
      <c r="J33" s="50"/>
    </row>
    <row r="34" spans="1:10" s="12" customFormat="1">
      <c r="A34" s="282"/>
      <c r="B34" s="114"/>
      <c r="C34" s="115"/>
      <c r="D34" s="115"/>
      <c r="E34" s="115"/>
      <c r="F34" s="116"/>
      <c r="G34" s="101" t="s">
        <v>56</v>
      </c>
      <c r="H34" s="102"/>
      <c r="I34" s="103">
        <f>SUM(I35:I35)</f>
        <v>92400</v>
      </c>
      <c r="J34" s="55"/>
    </row>
    <row r="35" spans="1:10" s="12" customFormat="1">
      <c r="A35" s="282"/>
      <c r="B35" s="114"/>
      <c r="C35" s="115"/>
      <c r="D35" s="115"/>
      <c r="E35" s="115"/>
      <c r="F35" s="116"/>
      <c r="G35" s="51" t="s">
        <v>318</v>
      </c>
      <c r="H35" s="286" t="s">
        <v>34</v>
      </c>
      <c r="I35" s="53">
        <f>38500*2*2*0.6</f>
        <v>92400</v>
      </c>
      <c r="J35" s="54"/>
    </row>
    <row r="36" spans="1:10">
      <c r="A36" s="23"/>
      <c r="B36" s="15"/>
      <c r="C36" s="6"/>
      <c r="D36" s="6"/>
      <c r="E36" s="6"/>
      <c r="F36" s="82"/>
      <c r="G36" s="101" t="s">
        <v>78</v>
      </c>
      <c r="H36" s="102"/>
      <c r="I36" s="103">
        <f>SUM(I37:I38)</f>
        <v>98400</v>
      </c>
      <c r="J36" s="42"/>
    </row>
    <row r="37" spans="1:10">
      <c r="A37" s="23"/>
      <c r="B37" s="15"/>
      <c r="C37" s="6"/>
      <c r="D37" s="6"/>
      <c r="E37" s="6"/>
      <c r="F37" s="82"/>
      <c r="G37" s="47" t="s">
        <v>238</v>
      </c>
      <c r="H37" s="283" t="s">
        <v>34</v>
      </c>
      <c r="I37" s="49">
        <f>5000*12</f>
        <v>60000</v>
      </c>
      <c r="J37" s="43"/>
    </row>
    <row r="38" spans="1:10">
      <c r="A38" s="23"/>
      <c r="B38" s="15"/>
      <c r="C38" s="6"/>
      <c r="D38" s="6"/>
      <c r="E38" s="6"/>
      <c r="F38" s="82"/>
      <c r="G38" s="51" t="s">
        <v>319</v>
      </c>
      <c r="H38" s="286" t="s">
        <v>34</v>
      </c>
      <c r="I38" s="53">
        <f>3200*12</f>
        <v>38400</v>
      </c>
      <c r="J38" s="44"/>
    </row>
    <row r="39" spans="1:10" ht="16.5" customHeight="1">
      <c r="A39" s="24"/>
      <c r="B39" s="410" t="s">
        <v>42</v>
      </c>
      <c r="C39" s="5">
        <v>594000</v>
      </c>
      <c r="D39" s="5"/>
      <c r="E39" s="5">
        <f>SUM(I39,I42)</f>
        <v>850240</v>
      </c>
      <c r="F39" s="81">
        <f>E39-C39</f>
        <v>256240</v>
      </c>
      <c r="G39" s="101" t="s">
        <v>93</v>
      </c>
      <c r="H39" s="102"/>
      <c r="I39" s="103">
        <f>SUM(I40:I41)</f>
        <v>580240</v>
      </c>
      <c r="J39" s="42"/>
    </row>
    <row r="40" spans="1:10" ht="16.5" customHeight="1">
      <c r="A40" s="24"/>
      <c r="B40" s="412"/>
      <c r="C40" s="6"/>
      <c r="D40" s="6"/>
      <c r="E40" s="6"/>
      <c r="F40" s="82"/>
      <c r="G40" s="313" t="s">
        <v>321</v>
      </c>
      <c r="H40" s="330" t="s">
        <v>34</v>
      </c>
      <c r="I40" s="314">
        <v>550000</v>
      </c>
      <c r="J40" s="43"/>
    </row>
    <row r="41" spans="1:10">
      <c r="A41" s="23"/>
      <c r="B41" s="412"/>
      <c r="C41" s="242"/>
      <c r="D41" s="242"/>
      <c r="E41" s="242"/>
      <c r="F41" s="242"/>
      <c r="G41" s="47" t="s">
        <v>320</v>
      </c>
      <c r="H41" s="283" t="s">
        <v>27</v>
      </c>
      <c r="I41" s="49">
        <f>2520*1*12</f>
        <v>30240</v>
      </c>
      <c r="J41" s="43"/>
    </row>
    <row r="42" spans="1:10">
      <c r="A42" s="23"/>
      <c r="B42" s="15"/>
      <c r="C42" s="250"/>
      <c r="D42" s="250"/>
      <c r="E42" s="250"/>
      <c r="F42" s="82"/>
      <c r="G42" s="101" t="s">
        <v>94</v>
      </c>
      <c r="H42" s="102"/>
      <c r="I42" s="103">
        <f>SUM(I43:I43)</f>
        <v>270000</v>
      </c>
      <c r="J42" s="42"/>
    </row>
    <row r="43" spans="1:10" ht="17.25" thickBot="1">
      <c r="A43" s="23"/>
      <c r="B43" s="15"/>
      <c r="C43" s="6"/>
      <c r="D43" s="6"/>
      <c r="E43" s="6"/>
      <c r="F43" s="82"/>
      <c r="G43" s="47" t="s">
        <v>343</v>
      </c>
      <c r="H43" s="283" t="s">
        <v>27</v>
      </c>
      <c r="I43" s="49">
        <f>90000*3</f>
        <v>270000</v>
      </c>
      <c r="J43" s="43"/>
    </row>
    <row r="44" spans="1:10" ht="16.5" customHeight="1">
      <c r="A44" s="414" t="s">
        <v>22</v>
      </c>
      <c r="B44" s="415"/>
      <c r="C44" s="197">
        <f>SUM(C46,C87,C152,C177)</f>
        <v>5321947</v>
      </c>
      <c r="D44" s="197">
        <v>0</v>
      </c>
      <c r="E44" s="197">
        <f>SUM(E46,E87,E152,E177)</f>
        <v>5978517</v>
      </c>
      <c r="F44" s="198">
        <f>E44-C44</f>
        <v>656570</v>
      </c>
      <c r="G44" s="199"/>
      <c r="H44" s="200" t="s">
        <v>27</v>
      </c>
      <c r="I44" s="201"/>
      <c r="J44" s="202"/>
    </row>
    <row r="45" spans="1:10" ht="16.5" customHeight="1">
      <c r="A45" s="203"/>
      <c r="B45" s="204"/>
      <c r="C45" s="243"/>
      <c r="D45" s="243"/>
      <c r="E45" s="243"/>
      <c r="F45" s="243"/>
      <c r="G45" s="193"/>
      <c r="H45" s="194"/>
      <c r="I45" s="195"/>
      <c r="J45" s="196"/>
    </row>
    <row r="46" spans="1:10" s="11" customFormat="1" ht="16.5" customHeight="1">
      <c r="A46" s="25"/>
      <c r="B46" s="18" t="s">
        <v>43</v>
      </c>
      <c r="C46" s="5">
        <v>1490962</v>
      </c>
      <c r="D46" s="5"/>
      <c r="E46" s="5">
        <f>SUM(I46,I68,I82,I84,I85)</f>
        <v>1573962</v>
      </c>
      <c r="F46" s="81">
        <f>E46-C46</f>
        <v>83000</v>
      </c>
      <c r="G46" s="101" t="s">
        <v>112</v>
      </c>
      <c r="H46" s="110"/>
      <c r="I46" s="103">
        <f>SUM(I47:I67)</f>
        <v>455094</v>
      </c>
      <c r="J46" s="46"/>
    </row>
    <row r="47" spans="1:10">
      <c r="A47" s="20"/>
      <c r="B47" s="15"/>
      <c r="C47" s="242"/>
      <c r="D47" s="242"/>
      <c r="E47" s="242"/>
      <c r="F47" s="242"/>
      <c r="G47" s="47" t="s">
        <v>120</v>
      </c>
      <c r="H47" s="48" t="s">
        <v>27</v>
      </c>
      <c r="I47" s="49">
        <f>200*12*2*12</f>
        <v>57600</v>
      </c>
      <c r="J47" s="43"/>
    </row>
    <row r="48" spans="1:10">
      <c r="A48" s="20"/>
      <c r="B48" s="15"/>
      <c r="C48" s="6"/>
      <c r="D48" s="6"/>
      <c r="E48" s="6"/>
      <c r="F48" s="82"/>
      <c r="G48" s="47" t="s">
        <v>221</v>
      </c>
      <c r="H48" s="48" t="s">
        <v>27</v>
      </c>
      <c r="I48" s="49">
        <f>20000*2*2+96000</f>
        <v>176000</v>
      </c>
      <c r="J48" s="43"/>
    </row>
    <row r="49" spans="1:10">
      <c r="A49" s="20"/>
      <c r="B49" s="15"/>
      <c r="C49" s="6"/>
      <c r="D49" s="6"/>
      <c r="E49" s="6"/>
      <c r="F49" s="82"/>
      <c r="G49" s="47" t="s">
        <v>182</v>
      </c>
      <c r="H49" s="48" t="s">
        <v>27</v>
      </c>
      <c r="I49" s="49">
        <f>32000*1</f>
        <v>32000</v>
      </c>
      <c r="J49" s="50"/>
    </row>
    <row r="50" spans="1:10" s="11" customFormat="1">
      <c r="A50" s="20"/>
      <c r="B50" s="15"/>
      <c r="C50" s="6"/>
      <c r="D50" s="6"/>
      <c r="E50" s="6"/>
      <c r="F50" s="82"/>
      <c r="G50" s="47" t="s">
        <v>231</v>
      </c>
      <c r="H50" s="48" t="s">
        <v>27</v>
      </c>
      <c r="I50" s="49">
        <f>300*8*4</f>
        <v>9600</v>
      </c>
      <c r="J50" s="43"/>
    </row>
    <row r="51" spans="1:10">
      <c r="A51" s="20"/>
      <c r="B51" s="15"/>
      <c r="C51" s="6"/>
      <c r="D51" s="6"/>
      <c r="E51" s="6"/>
      <c r="F51" s="82"/>
      <c r="G51" s="47" t="s">
        <v>232</v>
      </c>
      <c r="H51" s="48" t="s">
        <v>27</v>
      </c>
      <c r="I51" s="49">
        <f>300*8*2</f>
        <v>4800</v>
      </c>
      <c r="J51" s="43"/>
    </row>
    <row r="52" spans="1:10">
      <c r="A52" s="20"/>
      <c r="B52" s="15"/>
      <c r="C52" s="6"/>
      <c r="D52" s="6"/>
      <c r="E52" s="6"/>
      <c r="F52" s="82"/>
      <c r="G52" s="47" t="s">
        <v>233</v>
      </c>
      <c r="H52" s="48" t="s">
        <v>27</v>
      </c>
      <c r="I52" s="49">
        <f>300*4*1</f>
        <v>1200</v>
      </c>
      <c r="J52" s="43"/>
    </row>
    <row r="53" spans="1:10">
      <c r="A53" s="20"/>
      <c r="B53" s="15"/>
      <c r="C53" s="6"/>
      <c r="D53" s="6"/>
      <c r="E53" s="6"/>
      <c r="F53" s="82"/>
      <c r="G53" s="47" t="s">
        <v>234</v>
      </c>
      <c r="H53" s="48" t="s">
        <v>27</v>
      </c>
      <c r="I53" s="49">
        <f>300*4*1</f>
        <v>1200</v>
      </c>
      <c r="J53" s="43"/>
    </row>
    <row r="54" spans="1:10">
      <c r="A54" s="20"/>
      <c r="B54" s="15"/>
      <c r="C54" s="6"/>
      <c r="D54" s="6"/>
      <c r="E54" s="6"/>
      <c r="F54" s="82"/>
      <c r="G54" s="47" t="s">
        <v>222</v>
      </c>
      <c r="H54" s="48" t="s">
        <v>27</v>
      </c>
      <c r="I54" s="49">
        <v>10000</v>
      </c>
      <c r="J54" s="43"/>
    </row>
    <row r="55" spans="1:10">
      <c r="A55" s="20"/>
      <c r="B55" s="15"/>
      <c r="C55" s="6"/>
      <c r="D55" s="6"/>
      <c r="E55" s="6"/>
      <c r="F55" s="82"/>
      <c r="G55" s="47" t="s">
        <v>223</v>
      </c>
      <c r="H55" s="48" t="s">
        <v>27</v>
      </c>
      <c r="I55" s="49">
        <f>5000+1000</f>
        <v>6000</v>
      </c>
      <c r="J55" s="43"/>
    </row>
    <row r="56" spans="1:10">
      <c r="A56" s="20"/>
      <c r="B56" s="15"/>
      <c r="C56" s="6"/>
      <c r="D56" s="6"/>
      <c r="E56" s="6"/>
      <c r="F56" s="82"/>
      <c r="G56" s="47" t="s">
        <v>224</v>
      </c>
      <c r="H56" s="48" t="s">
        <v>27</v>
      </c>
      <c r="I56" s="49">
        <f>300*2*11</f>
        <v>6600</v>
      </c>
      <c r="J56" s="50"/>
    </row>
    <row r="57" spans="1:10">
      <c r="A57" s="20"/>
      <c r="B57" s="15"/>
      <c r="C57" s="6"/>
      <c r="D57" s="6"/>
      <c r="E57" s="6"/>
      <c r="F57" s="82"/>
      <c r="G57" s="47" t="s">
        <v>225</v>
      </c>
      <c r="H57" s="48" t="s">
        <v>27</v>
      </c>
      <c r="I57" s="49">
        <f>2300*2</f>
        <v>4600</v>
      </c>
      <c r="J57" s="50"/>
    </row>
    <row r="58" spans="1:10">
      <c r="A58" s="20"/>
      <c r="B58" s="15"/>
      <c r="C58" s="6"/>
      <c r="D58" s="6"/>
      <c r="E58" s="6"/>
      <c r="F58" s="82"/>
      <c r="G58" s="47" t="s">
        <v>226</v>
      </c>
      <c r="H58" s="48" t="s">
        <v>27</v>
      </c>
      <c r="I58" s="49">
        <f>9500*2</f>
        <v>19000</v>
      </c>
      <c r="J58" s="43"/>
    </row>
    <row r="59" spans="1:10">
      <c r="A59" s="20"/>
      <c r="B59" s="15"/>
      <c r="C59" s="6"/>
      <c r="D59" s="6"/>
      <c r="E59" s="6"/>
      <c r="F59" s="82"/>
      <c r="G59" s="47" t="s">
        <v>227</v>
      </c>
      <c r="H59" s="48" t="s">
        <v>27</v>
      </c>
      <c r="I59" s="49">
        <f>1472*2</f>
        <v>2944</v>
      </c>
      <c r="J59" s="43"/>
    </row>
    <row r="60" spans="1:10">
      <c r="A60" s="20"/>
      <c r="B60" s="15"/>
      <c r="C60" s="6"/>
      <c r="D60" s="6"/>
      <c r="E60" s="6"/>
      <c r="F60" s="82"/>
      <c r="G60" s="47" t="s">
        <v>144</v>
      </c>
      <c r="H60" s="48" t="s">
        <v>27</v>
      </c>
      <c r="I60" s="49">
        <v>200</v>
      </c>
      <c r="J60" s="43"/>
    </row>
    <row r="61" spans="1:10">
      <c r="A61" s="20"/>
      <c r="B61" s="15"/>
      <c r="C61" s="6"/>
      <c r="D61" s="6"/>
      <c r="E61" s="6"/>
      <c r="F61" s="82"/>
      <c r="G61" s="47" t="s">
        <v>180</v>
      </c>
      <c r="H61" s="48" t="s">
        <v>27</v>
      </c>
      <c r="I61" s="49">
        <f>4325*4</f>
        <v>17300</v>
      </c>
      <c r="J61" s="43"/>
    </row>
    <row r="62" spans="1:10">
      <c r="A62" s="20"/>
      <c r="B62" s="15"/>
      <c r="C62" s="6"/>
      <c r="D62" s="6"/>
      <c r="E62" s="6"/>
      <c r="F62" s="82"/>
      <c r="G62" s="47" t="s">
        <v>209</v>
      </c>
      <c r="H62" s="48" t="s">
        <v>27</v>
      </c>
      <c r="I62" s="49">
        <f>9000*5</f>
        <v>45000</v>
      </c>
      <c r="J62" s="43"/>
    </row>
    <row r="63" spans="1:10">
      <c r="A63" s="20"/>
      <c r="B63" s="15"/>
      <c r="C63" s="6"/>
      <c r="D63" s="6"/>
      <c r="E63" s="6"/>
      <c r="F63" s="82"/>
      <c r="G63" s="47" t="s">
        <v>147</v>
      </c>
      <c r="H63" s="48" t="s">
        <v>121</v>
      </c>
      <c r="I63" s="49">
        <v>750</v>
      </c>
      <c r="J63" s="43"/>
    </row>
    <row r="64" spans="1:10">
      <c r="A64" s="20"/>
      <c r="B64" s="15"/>
      <c r="C64" s="6"/>
      <c r="D64" s="6"/>
      <c r="E64" s="6"/>
      <c r="F64" s="82"/>
      <c r="G64" s="47" t="s">
        <v>181</v>
      </c>
      <c r="H64" s="48" t="s">
        <v>121</v>
      </c>
      <c r="I64" s="49">
        <f>500*5</f>
        <v>2500</v>
      </c>
      <c r="J64" s="43"/>
    </row>
    <row r="65" spans="1:10">
      <c r="A65" s="20"/>
      <c r="B65" s="15"/>
      <c r="C65" s="6"/>
      <c r="D65" s="6"/>
      <c r="E65" s="6"/>
      <c r="F65" s="82"/>
      <c r="G65" s="47" t="s">
        <v>183</v>
      </c>
      <c r="H65" s="48" t="s">
        <v>121</v>
      </c>
      <c r="I65" s="49">
        <f>30*50</f>
        <v>1500</v>
      </c>
      <c r="J65" s="43"/>
    </row>
    <row r="66" spans="1:10">
      <c r="A66" s="20"/>
      <c r="B66" s="15"/>
      <c r="C66" s="6"/>
      <c r="D66" s="6"/>
      <c r="E66" s="6"/>
      <c r="F66" s="82"/>
      <c r="G66" s="47" t="s">
        <v>217</v>
      </c>
      <c r="H66" s="48" t="s">
        <v>27</v>
      </c>
      <c r="I66" s="49">
        <f>6300</f>
        <v>6300</v>
      </c>
      <c r="J66" s="43"/>
    </row>
    <row r="67" spans="1:10" s="12" customFormat="1">
      <c r="A67" s="113"/>
      <c r="B67" s="114"/>
      <c r="C67" s="115"/>
      <c r="D67" s="115"/>
      <c r="E67" s="115"/>
      <c r="F67" s="116"/>
      <c r="G67" s="47" t="s">
        <v>216</v>
      </c>
      <c r="H67" s="48" t="s">
        <v>27</v>
      </c>
      <c r="I67" s="49">
        <f>10000*5</f>
        <v>50000</v>
      </c>
      <c r="J67" s="50"/>
    </row>
    <row r="68" spans="1:10" s="12" customFormat="1">
      <c r="A68" s="113"/>
      <c r="B68" s="114"/>
      <c r="C68" s="115"/>
      <c r="D68" s="115"/>
      <c r="E68" s="115"/>
      <c r="F68" s="116"/>
      <c r="G68" s="101" t="s">
        <v>110</v>
      </c>
      <c r="H68" s="110"/>
      <c r="I68" s="103">
        <f>SUM(I69:I81)</f>
        <v>997200</v>
      </c>
      <c r="J68" s="55"/>
    </row>
    <row r="69" spans="1:10" s="12" customFormat="1">
      <c r="A69" s="113"/>
      <c r="B69" s="114"/>
      <c r="C69" s="115"/>
      <c r="D69" s="115"/>
      <c r="E69" s="115"/>
      <c r="F69" s="116"/>
      <c r="G69" s="47" t="s">
        <v>212</v>
      </c>
      <c r="H69" s="48" t="s">
        <v>27</v>
      </c>
      <c r="I69" s="49">
        <f>5500*12</f>
        <v>66000</v>
      </c>
      <c r="J69" s="50"/>
    </row>
    <row r="70" spans="1:10" s="12" customFormat="1">
      <c r="A70" s="113"/>
      <c r="B70" s="114"/>
      <c r="C70" s="115"/>
      <c r="D70" s="115"/>
      <c r="E70" s="115"/>
      <c r="F70" s="116"/>
      <c r="G70" s="47" t="s">
        <v>322</v>
      </c>
      <c r="H70" s="48" t="s">
        <v>27</v>
      </c>
      <c r="I70" s="49">
        <f>20000*12</f>
        <v>240000</v>
      </c>
      <c r="J70" s="50"/>
    </row>
    <row r="71" spans="1:10" s="12" customFormat="1">
      <c r="A71" s="113"/>
      <c r="B71" s="114"/>
      <c r="C71" s="115"/>
      <c r="D71" s="115"/>
      <c r="E71" s="115"/>
      <c r="F71" s="116"/>
      <c r="G71" s="47" t="s">
        <v>168</v>
      </c>
      <c r="H71" s="48" t="s">
        <v>27</v>
      </c>
      <c r="I71" s="49">
        <f>500*12</f>
        <v>6000</v>
      </c>
      <c r="J71" s="50"/>
    </row>
    <row r="72" spans="1:10" s="12" customFormat="1" ht="15.75" customHeight="1">
      <c r="A72" s="113"/>
      <c r="B72" s="114"/>
      <c r="C72" s="115"/>
      <c r="D72" s="115"/>
      <c r="E72" s="115"/>
      <c r="F72" s="116"/>
      <c r="G72" s="47" t="s">
        <v>186</v>
      </c>
      <c r="H72" s="48" t="s">
        <v>27</v>
      </c>
      <c r="I72" s="49">
        <f>150*12</f>
        <v>1800</v>
      </c>
      <c r="J72" s="50"/>
    </row>
    <row r="73" spans="1:10" s="12" customFormat="1">
      <c r="A73" s="113"/>
      <c r="B73" s="114"/>
      <c r="C73" s="115"/>
      <c r="D73" s="115"/>
      <c r="E73" s="115"/>
      <c r="F73" s="116"/>
      <c r="G73" s="47" t="s">
        <v>191</v>
      </c>
      <c r="H73" s="48" t="s">
        <v>27</v>
      </c>
      <c r="I73" s="49">
        <f>12000*10</f>
        <v>120000</v>
      </c>
      <c r="J73" s="50"/>
    </row>
    <row r="74" spans="1:10" s="12" customFormat="1">
      <c r="A74" s="113"/>
      <c r="B74" s="114"/>
      <c r="C74" s="115"/>
      <c r="D74" s="115"/>
      <c r="E74" s="115"/>
      <c r="F74" s="116"/>
      <c r="G74" s="47" t="s">
        <v>323</v>
      </c>
      <c r="H74" s="48" t="s">
        <v>27</v>
      </c>
      <c r="I74" s="49">
        <f>17000*5+20000*5</f>
        <v>185000</v>
      </c>
      <c r="J74" s="50"/>
    </row>
    <row r="75" spans="1:10" s="12" customFormat="1">
      <c r="A75" s="113"/>
      <c r="B75" s="114"/>
      <c r="C75" s="115"/>
      <c r="D75" s="115"/>
      <c r="E75" s="115"/>
      <c r="F75" s="116"/>
      <c r="G75" s="47" t="s">
        <v>187</v>
      </c>
      <c r="H75" s="48" t="s">
        <v>27</v>
      </c>
      <c r="I75" s="49">
        <f>2000*4</f>
        <v>8000</v>
      </c>
      <c r="J75" s="50"/>
    </row>
    <row r="76" spans="1:10" s="12" customFormat="1">
      <c r="A76" s="113"/>
      <c r="B76" s="114"/>
      <c r="C76" s="115"/>
      <c r="D76" s="115"/>
      <c r="E76" s="115"/>
      <c r="F76" s="116"/>
      <c r="G76" s="47" t="s">
        <v>324</v>
      </c>
      <c r="H76" s="48" t="s">
        <v>27</v>
      </c>
      <c r="I76" s="49">
        <f>7000*12</f>
        <v>84000</v>
      </c>
      <c r="J76" s="50"/>
    </row>
    <row r="77" spans="1:10" s="12" customFormat="1">
      <c r="A77" s="113"/>
      <c r="B77" s="114"/>
      <c r="C77" s="115"/>
      <c r="D77" s="115"/>
      <c r="E77" s="115"/>
      <c r="F77" s="116"/>
      <c r="G77" s="47" t="s">
        <v>326</v>
      </c>
      <c r="H77" s="48" t="s">
        <v>27</v>
      </c>
      <c r="I77" s="49">
        <f>10000*5</f>
        <v>50000</v>
      </c>
      <c r="J77" s="50"/>
    </row>
    <row r="78" spans="1:10" s="12" customFormat="1">
      <c r="A78" s="113"/>
      <c r="B78" s="114"/>
      <c r="C78" s="115"/>
      <c r="D78" s="115"/>
      <c r="E78" s="115"/>
      <c r="F78" s="116"/>
      <c r="G78" s="47" t="s">
        <v>210</v>
      </c>
      <c r="H78" s="48" t="s">
        <v>27</v>
      </c>
      <c r="I78" s="49">
        <f>12000*1</f>
        <v>12000</v>
      </c>
      <c r="J78" s="50"/>
    </row>
    <row r="79" spans="1:10" s="12" customFormat="1">
      <c r="A79" s="113"/>
      <c r="B79" s="114"/>
      <c r="C79" s="115"/>
      <c r="D79" s="115"/>
      <c r="E79" s="115"/>
      <c r="F79" s="116"/>
      <c r="G79" s="47" t="s">
        <v>235</v>
      </c>
      <c r="H79" s="48" t="s">
        <v>27</v>
      </c>
      <c r="I79" s="49">
        <f>3000*12</f>
        <v>36000</v>
      </c>
      <c r="J79" s="50"/>
    </row>
    <row r="80" spans="1:10" s="12" customFormat="1">
      <c r="A80" s="113"/>
      <c r="B80" s="114"/>
      <c r="C80" s="115"/>
      <c r="D80" s="115"/>
      <c r="E80" s="115"/>
      <c r="F80" s="116"/>
      <c r="G80" s="47" t="s">
        <v>202</v>
      </c>
      <c r="H80" s="48" t="s">
        <v>27</v>
      </c>
      <c r="I80" s="49">
        <f>3200*12</f>
        <v>38400</v>
      </c>
      <c r="J80" s="50"/>
    </row>
    <row r="81" spans="1:10" s="12" customFormat="1">
      <c r="A81" s="113"/>
      <c r="B81" s="114"/>
      <c r="C81" s="115"/>
      <c r="D81" s="115"/>
      <c r="E81" s="115"/>
      <c r="F81" s="116"/>
      <c r="G81" s="47" t="s">
        <v>325</v>
      </c>
      <c r="H81" s="48" t="s">
        <v>27</v>
      </c>
      <c r="I81" s="49">
        <f>10000*15</f>
        <v>150000</v>
      </c>
      <c r="J81" s="50"/>
    </row>
    <row r="82" spans="1:10">
      <c r="A82" s="20"/>
      <c r="B82" s="15"/>
      <c r="C82" s="6"/>
      <c r="D82" s="6"/>
      <c r="E82" s="6"/>
      <c r="F82" s="82"/>
      <c r="G82" s="101" t="s">
        <v>115</v>
      </c>
      <c r="H82" s="110"/>
      <c r="I82" s="103">
        <f>SUM(I83)</f>
        <v>60000</v>
      </c>
      <c r="J82" s="42"/>
    </row>
    <row r="83" spans="1:10" s="12" customFormat="1">
      <c r="A83" s="113"/>
      <c r="B83" s="114"/>
      <c r="C83" s="115"/>
      <c r="D83" s="115"/>
      <c r="E83" s="115"/>
      <c r="F83" s="116"/>
      <c r="G83" s="47" t="s">
        <v>327</v>
      </c>
      <c r="H83" s="48" t="s">
        <v>27</v>
      </c>
      <c r="I83" s="49">
        <f>1000*5*12</f>
        <v>60000</v>
      </c>
      <c r="J83" s="50"/>
    </row>
    <row r="84" spans="1:10">
      <c r="A84" s="20"/>
      <c r="B84" s="15"/>
      <c r="C84" s="6"/>
      <c r="D84" s="6"/>
      <c r="E84" s="6"/>
      <c r="F84" s="82"/>
      <c r="G84" s="101" t="s">
        <v>116</v>
      </c>
      <c r="H84" s="110"/>
      <c r="I84" s="103"/>
      <c r="J84" s="42"/>
    </row>
    <row r="85" spans="1:10" s="12" customFormat="1">
      <c r="A85" s="113"/>
      <c r="B85" s="114"/>
      <c r="C85" s="115"/>
      <c r="D85" s="115"/>
      <c r="E85" s="115"/>
      <c r="F85" s="116"/>
      <c r="G85" s="101" t="s">
        <v>117</v>
      </c>
      <c r="H85" s="110"/>
      <c r="I85" s="103">
        <f>SUM(I86:I86)</f>
        <v>61668</v>
      </c>
      <c r="J85" s="55"/>
    </row>
    <row r="86" spans="1:10" s="12" customFormat="1">
      <c r="A86" s="113"/>
      <c r="B86" s="114"/>
      <c r="C86" s="115"/>
      <c r="D86" s="115"/>
      <c r="E86" s="115"/>
      <c r="F86" s="116"/>
      <c r="G86" s="47" t="s">
        <v>165</v>
      </c>
      <c r="H86" s="48" t="s">
        <v>27</v>
      </c>
      <c r="I86" s="49">
        <f>61668</f>
        <v>61668</v>
      </c>
      <c r="J86" s="50"/>
    </row>
    <row r="87" spans="1:10" s="12" customFormat="1" ht="16.5" customHeight="1">
      <c r="A87" s="138"/>
      <c r="B87" s="418" t="s">
        <v>44</v>
      </c>
      <c r="C87" s="120">
        <v>3211799</v>
      </c>
      <c r="D87" s="120"/>
      <c r="E87" s="120">
        <f>SUM(I87,I93,I96,I98,I107,I117,I119,I128,I132,I135,I142,I147,I149)</f>
        <v>3530855</v>
      </c>
      <c r="F87" s="121">
        <f>E87-C87</f>
        <v>319056</v>
      </c>
      <c r="G87" s="101" t="s">
        <v>30</v>
      </c>
      <c r="H87" s="110"/>
      <c r="I87" s="103">
        <f>SUM(I88:I92)</f>
        <v>400000</v>
      </c>
      <c r="J87" s="126"/>
    </row>
    <row r="88" spans="1:10" s="9" customFormat="1">
      <c r="A88" s="139"/>
      <c r="B88" s="419"/>
      <c r="C88" s="242"/>
      <c r="D88" s="242"/>
      <c r="E88" s="242"/>
      <c r="F88" s="242"/>
      <c r="G88" s="47" t="s">
        <v>328</v>
      </c>
      <c r="H88" s="48" t="s">
        <v>34</v>
      </c>
      <c r="I88" s="49">
        <f>10000*35</f>
        <v>350000</v>
      </c>
      <c r="J88" s="50" t="s">
        <v>268</v>
      </c>
    </row>
    <row r="89" spans="1:10" s="9" customFormat="1">
      <c r="A89" s="139"/>
      <c r="B89" s="299"/>
      <c r="C89" s="242"/>
      <c r="D89" s="242"/>
      <c r="E89" s="242"/>
      <c r="F89" s="242"/>
      <c r="G89" s="47" t="s">
        <v>184</v>
      </c>
      <c r="H89" s="48" t="s">
        <v>27</v>
      </c>
      <c r="I89" s="49">
        <f>2000*5</f>
        <v>10000</v>
      </c>
      <c r="J89" s="50" t="s">
        <v>268</v>
      </c>
    </row>
    <row r="90" spans="1:10" s="9" customFormat="1">
      <c r="A90" s="139"/>
      <c r="B90" s="299"/>
      <c r="C90" s="242"/>
      <c r="D90" s="242"/>
      <c r="E90" s="242"/>
      <c r="F90" s="242"/>
      <c r="G90" s="47" t="s">
        <v>185</v>
      </c>
      <c r="H90" s="48" t="s">
        <v>27</v>
      </c>
      <c r="I90" s="49">
        <f>5000*2</f>
        <v>10000</v>
      </c>
      <c r="J90" s="50" t="s">
        <v>268</v>
      </c>
    </row>
    <row r="91" spans="1:10" s="9" customFormat="1">
      <c r="A91" s="139"/>
      <c r="B91" s="299"/>
      <c r="C91" s="242"/>
      <c r="D91" s="242"/>
      <c r="E91" s="242"/>
      <c r="F91" s="242"/>
      <c r="G91" s="47" t="s">
        <v>201</v>
      </c>
      <c r="H91" s="48" t="s">
        <v>27</v>
      </c>
      <c r="I91" s="49">
        <v>24000</v>
      </c>
      <c r="J91" s="43" t="s">
        <v>268</v>
      </c>
    </row>
    <row r="92" spans="1:10" s="12" customFormat="1">
      <c r="A92" s="139"/>
      <c r="B92" s="140"/>
      <c r="C92" s="115"/>
      <c r="D92" s="115"/>
      <c r="E92" s="115"/>
      <c r="F92" s="116"/>
      <c r="G92" s="47" t="s">
        <v>178</v>
      </c>
      <c r="H92" s="48" t="s">
        <v>27</v>
      </c>
      <c r="I92" s="49">
        <f>150*40</f>
        <v>6000</v>
      </c>
      <c r="J92" s="50"/>
    </row>
    <row r="93" spans="1:10">
      <c r="A93" s="20"/>
      <c r="B93" s="15"/>
      <c r="C93" s="6"/>
      <c r="D93" s="6"/>
      <c r="E93" s="6"/>
      <c r="F93" s="82"/>
      <c r="G93" s="101" t="s">
        <v>122</v>
      </c>
      <c r="H93" s="110"/>
      <c r="I93" s="103">
        <f>SUM(I94:I95)</f>
        <v>117000</v>
      </c>
      <c r="J93" s="46"/>
    </row>
    <row r="94" spans="1:10" s="12" customFormat="1">
      <c r="A94" s="113"/>
      <c r="B94" s="114"/>
      <c r="C94" s="115"/>
      <c r="D94" s="115"/>
      <c r="E94" s="115"/>
      <c r="F94" s="116"/>
      <c r="G94" s="47" t="s">
        <v>203</v>
      </c>
      <c r="H94" s="48" t="s">
        <v>27</v>
      </c>
      <c r="I94" s="49">
        <f>600*15</f>
        <v>9000</v>
      </c>
      <c r="J94" s="50"/>
    </row>
    <row r="95" spans="1:10" s="12" customFormat="1">
      <c r="A95" s="113"/>
      <c r="B95" s="114"/>
      <c r="C95" s="115"/>
      <c r="D95" s="115"/>
      <c r="E95" s="115"/>
      <c r="F95" s="116"/>
      <c r="G95" s="47" t="s">
        <v>177</v>
      </c>
      <c r="H95" s="48" t="s">
        <v>27</v>
      </c>
      <c r="I95" s="49">
        <f>900*3*40</f>
        <v>108000</v>
      </c>
      <c r="J95" s="50"/>
    </row>
    <row r="96" spans="1:10" s="12" customFormat="1">
      <c r="A96" s="113"/>
      <c r="B96" s="114"/>
      <c r="C96" s="115"/>
      <c r="D96" s="115"/>
      <c r="E96" s="115"/>
      <c r="F96" s="116"/>
      <c r="G96" s="101" t="s">
        <v>123</v>
      </c>
      <c r="H96" s="110"/>
      <c r="I96" s="103">
        <f>SUM(I97:I97)</f>
        <v>0</v>
      </c>
      <c r="J96" s="126"/>
    </row>
    <row r="97" spans="1:10" s="12" customFormat="1">
      <c r="A97" s="113"/>
      <c r="B97" s="114"/>
      <c r="C97" s="115"/>
      <c r="D97" s="115"/>
      <c r="E97" s="115"/>
      <c r="F97" s="116"/>
      <c r="G97" s="51"/>
      <c r="H97" s="52" t="s">
        <v>27</v>
      </c>
      <c r="I97" s="53"/>
      <c r="J97" s="54"/>
    </row>
    <row r="98" spans="1:10" s="12" customFormat="1">
      <c r="A98" s="113"/>
      <c r="B98" s="114"/>
      <c r="C98" s="115"/>
      <c r="D98" s="115"/>
      <c r="E98" s="115"/>
      <c r="F98" s="116"/>
      <c r="G98" s="101" t="s">
        <v>124</v>
      </c>
      <c r="H98" s="110"/>
      <c r="I98" s="103">
        <f>SUM(I99:I106)</f>
        <v>1550400</v>
      </c>
      <c r="J98" s="55"/>
    </row>
    <row r="99" spans="1:10" s="12" customFormat="1">
      <c r="A99" s="113"/>
      <c r="B99" s="114"/>
      <c r="C99" s="115"/>
      <c r="D99" s="115"/>
      <c r="E99" s="115"/>
      <c r="F99" s="116"/>
      <c r="G99" s="313" t="s">
        <v>263</v>
      </c>
      <c r="H99" s="331" t="s">
        <v>27</v>
      </c>
      <c r="I99" s="314">
        <f>650*4*2*180+650*1*2*180</f>
        <v>1170000</v>
      </c>
      <c r="J99" s="50"/>
    </row>
    <row r="100" spans="1:10" s="12" customFormat="1">
      <c r="A100" s="113"/>
      <c r="B100" s="114"/>
      <c r="C100" s="115"/>
      <c r="D100" s="115"/>
      <c r="E100" s="115"/>
      <c r="F100" s="116"/>
      <c r="G100" s="313" t="s">
        <v>329</v>
      </c>
      <c r="H100" s="331" t="s">
        <v>34</v>
      </c>
      <c r="I100" s="314">
        <f>650*1*2*180</f>
        <v>234000</v>
      </c>
      <c r="J100" s="50"/>
    </row>
    <row r="101" spans="1:10" s="12" customFormat="1">
      <c r="A101" s="113"/>
      <c r="B101" s="114"/>
      <c r="C101" s="115"/>
      <c r="D101" s="115"/>
      <c r="E101" s="115"/>
      <c r="F101" s="116"/>
      <c r="G101" s="313" t="s">
        <v>330</v>
      </c>
      <c r="H101" s="331" t="s">
        <v>27</v>
      </c>
      <c r="I101" s="314">
        <f>2000*1*10</f>
        <v>20000</v>
      </c>
      <c r="J101" s="50"/>
    </row>
    <row r="102" spans="1:10" s="12" customFormat="1">
      <c r="A102" s="113"/>
      <c r="B102" s="114"/>
      <c r="C102" s="115"/>
      <c r="D102" s="115"/>
      <c r="E102" s="115"/>
      <c r="F102" s="116"/>
      <c r="G102" s="313" t="s">
        <v>334</v>
      </c>
      <c r="H102" s="331" t="s">
        <v>27</v>
      </c>
      <c r="I102" s="314">
        <f>3700*6+5500*6</f>
        <v>55200</v>
      </c>
      <c r="J102" s="50"/>
    </row>
    <row r="103" spans="1:10">
      <c r="A103" s="20"/>
      <c r="B103" s="15"/>
      <c r="C103" s="6"/>
      <c r="D103" s="6"/>
      <c r="E103" s="6"/>
      <c r="F103" s="82"/>
      <c r="G103" s="313" t="s">
        <v>194</v>
      </c>
      <c r="H103" s="331" t="s">
        <v>27</v>
      </c>
      <c r="I103" s="314">
        <f>100*45*2</f>
        <v>9000</v>
      </c>
      <c r="J103" s="50"/>
    </row>
    <row r="104" spans="1:10" s="12" customFormat="1">
      <c r="A104" s="113"/>
      <c r="B104" s="114"/>
      <c r="C104" s="115"/>
      <c r="D104" s="115"/>
      <c r="E104" s="115"/>
      <c r="F104" s="116"/>
      <c r="G104" s="313" t="s">
        <v>193</v>
      </c>
      <c r="H104" s="331" t="s">
        <v>27</v>
      </c>
      <c r="I104" s="314">
        <f>10*45*6</f>
        <v>2700</v>
      </c>
      <c r="J104" s="50"/>
    </row>
    <row r="105" spans="1:10" s="12" customFormat="1">
      <c r="A105" s="113"/>
      <c r="B105" s="114"/>
      <c r="C105" s="115"/>
      <c r="D105" s="115"/>
      <c r="E105" s="115"/>
      <c r="F105" s="116"/>
      <c r="G105" s="313" t="s">
        <v>192</v>
      </c>
      <c r="H105" s="331" t="s">
        <v>27</v>
      </c>
      <c r="I105" s="314">
        <f>1300*45</f>
        <v>58500</v>
      </c>
      <c r="J105" s="50"/>
    </row>
    <row r="106" spans="1:10" s="12" customFormat="1">
      <c r="A106" s="113"/>
      <c r="B106" s="114"/>
      <c r="C106" s="115"/>
      <c r="D106" s="115"/>
      <c r="E106" s="115"/>
      <c r="F106" s="116"/>
      <c r="G106" s="334" t="s">
        <v>195</v>
      </c>
      <c r="H106" s="342" t="s">
        <v>27</v>
      </c>
      <c r="I106" s="343">
        <f>1000*1</f>
        <v>1000</v>
      </c>
      <c r="J106" s="54"/>
    </row>
    <row r="107" spans="1:10">
      <c r="A107" s="20"/>
      <c r="B107" s="15"/>
      <c r="C107" s="6"/>
      <c r="D107" s="6"/>
      <c r="E107" s="6"/>
      <c r="F107" s="82"/>
      <c r="G107" s="337" t="s">
        <v>125</v>
      </c>
      <c r="H107" s="344"/>
      <c r="I107" s="339">
        <f>SUM(I108:I116)</f>
        <v>1070600</v>
      </c>
      <c r="J107" s="55"/>
    </row>
    <row r="108" spans="1:10">
      <c r="A108" s="20"/>
      <c r="B108" s="15"/>
      <c r="C108" s="6"/>
      <c r="D108" s="6"/>
      <c r="E108" s="6"/>
      <c r="F108" s="82"/>
      <c r="G108" s="313" t="s">
        <v>332</v>
      </c>
      <c r="H108" s="331" t="s">
        <v>27</v>
      </c>
      <c r="I108" s="314">
        <f>600*2*4*143+600*1*2*143</f>
        <v>858000</v>
      </c>
      <c r="J108" s="50"/>
    </row>
    <row r="109" spans="1:10">
      <c r="A109" s="20"/>
      <c r="B109" s="15"/>
      <c r="C109" s="6"/>
      <c r="D109" s="6"/>
      <c r="E109" s="6"/>
      <c r="F109" s="82"/>
      <c r="G109" s="47" t="s">
        <v>331</v>
      </c>
      <c r="H109" s="48" t="s">
        <v>169</v>
      </c>
      <c r="I109" s="49">
        <f>600*1.5*143</f>
        <v>128700</v>
      </c>
      <c r="J109" s="50"/>
    </row>
    <row r="110" spans="1:10" s="12" customFormat="1">
      <c r="A110" s="113"/>
      <c r="B110" s="114"/>
      <c r="C110" s="115"/>
      <c r="D110" s="115"/>
      <c r="E110" s="115"/>
      <c r="F110" s="116"/>
      <c r="G110" s="47" t="s">
        <v>333</v>
      </c>
      <c r="H110" s="48" t="s">
        <v>27</v>
      </c>
      <c r="I110" s="49">
        <f>2000*1*10</f>
        <v>20000</v>
      </c>
      <c r="J110" s="50"/>
    </row>
    <row r="111" spans="1:10" s="12" customFormat="1">
      <c r="A111" s="113"/>
      <c r="B111" s="114"/>
      <c r="C111" s="115"/>
      <c r="D111" s="115"/>
      <c r="E111" s="115"/>
      <c r="F111" s="116"/>
      <c r="G111" s="47" t="s">
        <v>335</v>
      </c>
      <c r="H111" s="48" t="s">
        <v>27</v>
      </c>
      <c r="I111" s="49">
        <f>2500*6</f>
        <v>15000</v>
      </c>
      <c r="J111" s="50"/>
    </row>
    <row r="112" spans="1:10">
      <c r="A112" s="20"/>
      <c r="B112" s="15"/>
      <c r="C112" s="6"/>
      <c r="D112" s="6"/>
      <c r="E112" s="6"/>
      <c r="F112" s="82"/>
      <c r="G112" s="47" t="s">
        <v>194</v>
      </c>
      <c r="H112" s="48" t="s">
        <v>27</v>
      </c>
      <c r="I112" s="49">
        <f>100*45*2</f>
        <v>9000</v>
      </c>
      <c r="J112" s="50"/>
    </row>
    <row r="113" spans="1:10">
      <c r="A113" s="20"/>
      <c r="B113" s="15"/>
      <c r="C113" s="6"/>
      <c r="D113" s="6"/>
      <c r="E113" s="6"/>
      <c r="F113" s="82"/>
      <c r="G113" s="47" t="s">
        <v>197</v>
      </c>
      <c r="H113" s="48" t="s">
        <v>27</v>
      </c>
      <c r="I113" s="49">
        <f>10*45*6</f>
        <v>2700</v>
      </c>
      <c r="J113" s="50"/>
    </row>
    <row r="114" spans="1:10" ht="17.25" customHeight="1">
      <c r="A114" s="20"/>
      <c r="B114" s="15"/>
      <c r="C114" s="6"/>
      <c r="D114" s="6"/>
      <c r="E114" s="6"/>
      <c r="F114" s="82"/>
      <c r="G114" s="47" t="s">
        <v>196</v>
      </c>
      <c r="H114" s="48" t="s">
        <v>27</v>
      </c>
      <c r="I114" s="49">
        <f>400*90</f>
        <v>36000</v>
      </c>
      <c r="J114" s="50"/>
    </row>
    <row r="115" spans="1:10" ht="17.25" customHeight="1">
      <c r="A115" s="20"/>
      <c r="B115" s="15"/>
      <c r="C115" s="6"/>
      <c r="D115" s="6"/>
      <c r="E115" s="6"/>
      <c r="F115" s="82"/>
      <c r="G115" s="47" t="s">
        <v>195</v>
      </c>
      <c r="H115" s="48" t="s">
        <v>27</v>
      </c>
      <c r="I115" s="49">
        <f>1000*1</f>
        <v>1000</v>
      </c>
      <c r="J115" s="50"/>
    </row>
    <row r="116" spans="1:10">
      <c r="A116" s="20"/>
      <c r="B116" s="15"/>
      <c r="C116" s="6"/>
      <c r="D116" s="6"/>
      <c r="E116" s="6"/>
      <c r="F116" s="82"/>
      <c r="G116" s="47" t="s">
        <v>134</v>
      </c>
      <c r="H116" s="48" t="s">
        <v>27</v>
      </c>
      <c r="I116" s="49">
        <v>200</v>
      </c>
      <c r="J116" s="50"/>
    </row>
    <row r="117" spans="1:10" ht="16.5" customHeight="1">
      <c r="A117" s="20"/>
      <c r="B117" s="15"/>
      <c r="C117" s="6"/>
      <c r="D117" s="6"/>
      <c r="E117" s="6"/>
      <c r="F117" s="82"/>
      <c r="G117" s="101" t="s">
        <v>126</v>
      </c>
      <c r="H117" s="110"/>
      <c r="I117" s="103">
        <f>SUM(I118:I118)</f>
        <v>20000</v>
      </c>
      <c r="J117" s="42"/>
    </row>
    <row r="118" spans="1:10" s="12" customFormat="1" ht="16.5" customHeight="1">
      <c r="A118" s="113"/>
      <c r="B118" s="114"/>
      <c r="C118" s="115"/>
      <c r="D118" s="115"/>
      <c r="E118" s="115"/>
      <c r="F118" s="116"/>
      <c r="G118" s="47" t="s">
        <v>239</v>
      </c>
      <c r="H118" s="48" t="s">
        <v>27</v>
      </c>
      <c r="I118" s="49">
        <f>1000*20</f>
        <v>20000</v>
      </c>
      <c r="J118" s="50"/>
    </row>
    <row r="119" spans="1:10">
      <c r="A119" s="20"/>
      <c r="B119" s="15"/>
      <c r="C119" s="6"/>
      <c r="D119" s="6"/>
      <c r="E119" s="6"/>
      <c r="F119" s="82"/>
      <c r="G119" s="101" t="s">
        <v>127</v>
      </c>
      <c r="H119" s="110"/>
      <c r="I119" s="103">
        <f>SUM(I120:I127)</f>
        <v>51000</v>
      </c>
      <c r="J119" s="42"/>
    </row>
    <row r="120" spans="1:10" s="12" customFormat="1">
      <c r="A120" s="113"/>
      <c r="B120" s="114"/>
      <c r="C120" s="115"/>
      <c r="D120" s="115"/>
      <c r="E120" s="115"/>
      <c r="F120" s="116"/>
      <c r="G120" s="47" t="s">
        <v>135</v>
      </c>
      <c r="H120" s="48" t="s">
        <v>27</v>
      </c>
      <c r="I120" s="49">
        <f>200*40*2</f>
        <v>16000</v>
      </c>
      <c r="J120" s="50"/>
    </row>
    <row r="121" spans="1:10">
      <c r="A121" s="20"/>
      <c r="B121" s="15"/>
      <c r="C121" s="6"/>
      <c r="D121" s="6"/>
      <c r="E121" s="6"/>
      <c r="F121" s="82"/>
      <c r="G121" s="47" t="s">
        <v>136</v>
      </c>
      <c r="H121" s="48" t="s">
        <v>27</v>
      </c>
      <c r="I121" s="49">
        <v>3000</v>
      </c>
      <c r="J121" s="43"/>
    </row>
    <row r="122" spans="1:10">
      <c r="A122" s="20"/>
      <c r="B122" s="15"/>
      <c r="C122" s="6"/>
      <c r="D122" s="6"/>
      <c r="E122" s="6"/>
      <c r="F122" s="82"/>
      <c r="G122" s="47" t="s">
        <v>198</v>
      </c>
      <c r="H122" s="48" t="s">
        <v>27</v>
      </c>
      <c r="I122" s="49">
        <f>4000*1</f>
        <v>4000</v>
      </c>
      <c r="J122" s="43"/>
    </row>
    <row r="123" spans="1:10">
      <c r="A123" s="20"/>
      <c r="B123" s="15"/>
      <c r="C123" s="6"/>
      <c r="D123" s="6"/>
      <c r="E123" s="6"/>
      <c r="F123" s="82"/>
      <c r="G123" s="47" t="s">
        <v>145</v>
      </c>
      <c r="H123" s="48" t="s">
        <v>27</v>
      </c>
      <c r="I123" s="49">
        <v>16000</v>
      </c>
      <c r="J123" s="43"/>
    </row>
    <row r="124" spans="1:10" s="12" customFormat="1">
      <c r="A124" s="113"/>
      <c r="B124" s="114"/>
      <c r="C124" s="115"/>
      <c r="D124" s="115"/>
      <c r="E124" s="115"/>
      <c r="F124" s="116"/>
      <c r="G124" s="47" t="s">
        <v>175</v>
      </c>
      <c r="H124" s="48" t="s">
        <v>27</v>
      </c>
      <c r="I124" s="49">
        <f>200*45</f>
        <v>9000</v>
      </c>
      <c r="J124" s="50"/>
    </row>
    <row r="125" spans="1:10" s="12" customFormat="1">
      <c r="A125" s="113"/>
      <c r="B125" s="114"/>
      <c r="C125" s="115"/>
      <c r="D125" s="115"/>
      <c r="E125" s="115"/>
      <c r="F125" s="116"/>
      <c r="G125" s="47" t="s">
        <v>176</v>
      </c>
      <c r="H125" s="48" t="s">
        <v>27</v>
      </c>
      <c r="I125" s="49">
        <f>2000*1</f>
        <v>2000</v>
      </c>
      <c r="J125" s="50"/>
    </row>
    <row r="126" spans="1:10" s="12" customFormat="1">
      <c r="A126" s="113"/>
      <c r="B126" s="114"/>
      <c r="C126" s="115"/>
      <c r="D126" s="115"/>
      <c r="E126" s="115"/>
      <c r="F126" s="116"/>
      <c r="G126" s="47" t="s">
        <v>142</v>
      </c>
      <c r="H126" s="48" t="s">
        <v>27</v>
      </c>
      <c r="I126" s="49">
        <v>1000</v>
      </c>
      <c r="J126" s="50"/>
    </row>
    <row r="127" spans="1:10">
      <c r="A127" s="20"/>
      <c r="B127" s="15"/>
      <c r="C127" s="6"/>
      <c r="D127" s="6"/>
      <c r="E127" s="6"/>
      <c r="F127" s="82"/>
      <c r="G127" s="47"/>
      <c r="H127" s="48"/>
      <c r="I127" s="49"/>
      <c r="J127" s="43"/>
    </row>
    <row r="128" spans="1:10" s="12" customFormat="1">
      <c r="A128" s="113"/>
      <c r="B128" s="114"/>
      <c r="C128" s="115"/>
      <c r="D128" s="115"/>
      <c r="E128" s="115"/>
      <c r="F128" s="116"/>
      <c r="G128" s="101" t="s">
        <v>128</v>
      </c>
      <c r="H128" s="110"/>
      <c r="I128" s="103">
        <f>SUM(I129:I131)</f>
        <v>12500</v>
      </c>
      <c r="J128" s="55"/>
    </row>
    <row r="129" spans="1:10" s="12" customFormat="1">
      <c r="A129" s="113"/>
      <c r="B129" s="114"/>
      <c r="C129" s="115"/>
      <c r="D129" s="115"/>
      <c r="E129" s="115"/>
      <c r="F129" s="116"/>
      <c r="G129" s="47" t="s">
        <v>240</v>
      </c>
      <c r="H129" s="48" t="s">
        <v>27</v>
      </c>
      <c r="I129" s="49">
        <f>400*20</f>
        <v>8000</v>
      </c>
      <c r="J129" s="50"/>
    </row>
    <row r="130" spans="1:10" s="12" customFormat="1">
      <c r="A130" s="113"/>
      <c r="B130" s="114"/>
      <c r="C130" s="115"/>
      <c r="D130" s="115"/>
      <c r="E130" s="115"/>
      <c r="F130" s="116"/>
      <c r="G130" s="47" t="s">
        <v>241</v>
      </c>
      <c r="H130" s="48" t="s">
        <v>27</v>
      </c>
      <c r="I130" s="49">
        <f>200*20</f>
        <v>4000</v>
      </c>
      <c r="J130" s="50"/>
    </row>
    <row r="131" spans="1:10" s="12" customFormat="1">
      <c r="A131" s="113"/>
      <c r="B131" s="114"/>
      <c r="C131" s="115"/>
      <c r="D131" s="115"/>
      <c r="E131" s="115"/>
      <c r="F131" s="116"/>
      <c r="G131" s="47" t="s">
        <v>137</v>
      </c>
      <c r="H131" s="48" t="s">
        <v>27</v>
      </c>
      <c r="I131" s="49">
        <v>500</v>
      </c>
      <c r="J131" s="50"/>
    </row>
    <row r="132" spans="1:10" ht="16.5" customHeight="1">
      <c r="A132" s="20" t="s">
        <v>31</v>
      </c>
      <c r="B132" s="15"/>
      <c r="C132" s="6"/>
      <c r="D132" s="6"/>
      <c r="E132" s="6"/>
      <c r="F132" s="82"/>
      <c r="G132" s="101" t="s">
        <v>97</v>
      </c>
      <c r="H132" s="110"/>
      <c r="I132" s="103">
        <f>SUM(I133:I134)</f>
        <v>4000</v>
      </c>
      <c r="J132" s="46"/>
    </row>
    <row r="133" spans="1:10" s="12" customFormat="1">
      <c r="A133" s="113"/>
      <c r="B133" s="114"/>
      <c r="C133" s="115"/>
      <c r="D133" s="115"/>
      <c r="E133" s="115"/>
      <c r="F133" s="116"/>
      <c r="G133" s="47" t="s">
        <v>138</v>
      </c>
      <c r="H133" s="48" t="s">
        <v>27</v>
      </c>
      <c r="I133" s="49">
        <v>4000</v>
      </c>
      <c r="J133" s="50"/>
    </row>
    <row r="134" spans="1:10" s="12" customFormat="1">
      <c r="A134" s="113"/>
      <c r="B134" s="114"/>
      <c r="C134" s="115"/>
      <c r="D134" s="115"/>
      <c r="E134" s="115"/>
      <c r="F134" s="116"/>
      <c r="G134" s="47"/>
      <c r="H134" s="48"/>
      <c r="I134" s="49"/>
      <c r="J134" s="50"/>
    </row>
    <row r="135" spans="1:10">
      <c r="A135" s="20"/>
      <c r="B135" s="15"/>
      <c r="C135" s="6"/>
      <c r="D135" s="6"/>
      <c r="E135" s="6"/>
      <c r="F135" s="82"/>
      <c r="G135" s="101" t="s">
        <v>133</v>
      </c>
      <c r="H135" s="110"/>
      <c r="I135" s="103">
        <f>SUM(I136:I141)</f>
        <v>11701</v>
      </c>
      <c r="J135" s="42"/>
    </row>
    <row r="136" spans="1:10">
      <c r="A136" s="20"/>
      <c r="B136" s="15"/>
      <c r="C136" s="6"/>
      <c r="D136" s="6"/>
      <c r="E136" s="6"/>
      <c r="F136" s="82"/>
      <c r="G136" s="47" t="s">
        <v>213</v>
      </c>
      <c r="H136" s="48" t="s">
        <v>27</v>
      </c>
      <c r="I136" s="49">
        <f>300*13</f>
        <v>3900</v>
      </c>
      <c r="J136" s="43"/>
    </row>
    <row r="137" spans="1:10">
      <c r="A137" s="20"/>
      <c r="B137" s="15"/>
      <c r="C137" s="6"/>
      <c r="D137" s="6"/>
      <c r="E137" s="6"/>
      <c r="F137" s="82"/>
      <c r="G137" s="47" t="s">
        <v>139</v>
      </c>
      <c r="H137" s="48" t="s">
        <v>27</v>
      </c>
      <c r="I137" s="49">
        <v>800</v>
      </c>
      <c r="J137" s="43"/>
    </row>
    <row r="138" spans="1:10">
      <c r="A138" s="20"/>
      <c r="B138" s="15"/>
      <c r="C138" s="6"/>
      <c r="D138" s="6"/>
      <c r="E138" s="6"/>
      <c r="F138" s="82"/>
      <c r="G138" s="47" t="s">
        <v>204</v>
      </c>
      <c r="H138" s="48" t="s">
        <v>27</v>
      </c>
      <c r="I138" s="49">
        <f>667*3</f>
        <v>2001</v>
      </c>
      <c r="J138" s="43"/>
    </row>
    <row r="139" spans="1:10">
      <c r="A139" s="20"/>
      <c r="B139" s="15"/>
      <c r="C139" s="6"/>
      <c r="D139" s="6"/>
      <c r="E139" s="6"/>
      <c r="F139" s="82"/>
      <c r="G139" s="47" t="s">
        <v>140</v>
      </c>
      <c r="H139" s="48" t="s">
        <v>27</v>
      </c>
      <c r="I139" s="49">
        <v>3000</v>
      </c>
      <c r="J139" s="43"/>
    </row>
    <row r="140" spans="1:10">
      <c r="A140" s="20"/>
      <c r="B140" s="15"/>
      <c r="C140" s="6"/>
      <c r="D140" s="6"/>
      <c r="E140" s="6"/>
      <c r="F140" s="82"/>
      <c r="G140" s="47" t="s">
        <v>141</v>
      </c>
      <c r="H140" s="48" t="s">
        <v>27</v>
      </c>
      <c r="I140" s="49">
        <v>200</v>
      </c>
      <c r="J140" s="43"/>
    </row>
    <row r="141" spans="1:10">
      <c r="A141" s="20"/>
      <c r="B141" s="15"/>
      <c r="C141" s="6"/>
      <c r="D141" s="6"/>
      <c r="E141" s="6"/>
      <c r="F141" s="82"/>
      <c r="G141" s="51" t="s">
        <v>199</v>
      </c>
      <c r="H141" s="52" t="s">
        <v>27</v>
      </c>
      <c r="I141" s="53">
        <f>600*3</f>
        <v>1800</v>
      </c>
      <c r="J141" s="44"/>
    </row>
    <row r="142" spans="1:10">
      <c r="A142" s="20"/>
      <c r="B142" s="15"/>
      <c r="C142" s="6"/>
      <c r="D142" s="6"/>
      <c r="E142" s="6"/>
      <c r="F142" s="82"/>
      <c r="G142" s="101" t="s">
        <v>98</v>
      </c>
      <c r="H142" s="110"/>
      <c r="I142" s="103">
        <f>SUM(I143:I146)</f>
        <v>44638</v>
      </c>
      <c r="J142" s="42"/>
    </row>
    <row r="143" spans="1:10">
      <c r="A143" s="20"/>
      <c r="B143" s="15"/>
      <c r="C143" s="6"/>
      <c r="D143" s="6"/>
      <c r="E143" s="6"/>
      <c r="F143" s="82"/>
      <c r="G143" s="47" t="s">
        <v>342</v>
      </c>
      <c r="H143" s="48" t="s">
        <v>27</v>
      </c>
      <c r="I143" s="49">
        <f>584*60</f>
        <v>35040</v>
      </c>
      <c r="J143" s="43"/>
    </row>
    <row r="144" spans="1:10">
      <c r="A144" s="20"/>
      <c r="B144" s="15"/>
      <c r="C144" s="6"/>
      <c r="D144" s="6"/>
      <c r="E144" s="6"/>
      <c r="F144" s="82"/>
      <c r="G144" s="47" t="s">
        <v>242</v>
      </c>
      <c r="H144" s="48" t="s">
        <v>27</v>
      </c>
      <c r="I144" s="49">
        <f>400*3</f>
        <v>1200</v>
      </c>
      <c r="J144" s="43"/>
    </row>
    <row r="145" spans="1:12">
      <c r="A145" s="20"/>
      <c r="B145" s="15"/>
      <c r="C145" s="6"/>
      <c r="D145" s="6"/>
      <c r="E145" s="6"/>
      <c r="F145" s="82"/>
      <c r="G145" s="47" t="s">
        <v>200</v>
      </c>
      <c r="H145" s="48" t="s">
        <v>27</v>
      </c>
      <c r="I145" s="49">
        <f>666*3</f>
        <v>1998</v>
      </c>
      <c r="J145" s="43"/>
    </row>
    <row r="146" spans="1:12">
      <c r="A146" s="20"/>
      <c r="B146" s="15"/>
      <c r="C146" s="6"/>
      <c r="D146" s="6"/>
      <c r="E146" s="6"/>
      <c r="F146" s="82"/>
      <c r="G146" s="288" t="s">
        <v>243</v>
      </c>
      <c r="H146" s="289" t="s">
        <v>27</v>
      </c>
      <c r="I146" s="290">
        <f>800*8</f>
        <v>6400</v>
      </c>
      <c r="J146" s="300"/>
    </row>
    <row r="147" spans="1:12">
      <c r="A147" s="20"/>
      <c r="B147" s="15"/>
      <c r="C147" s="6"/>
      <c r="D147" s="6"/>
      <c r="E147" s="6"/>
      <c r="F147" s="82"/>
      <c r="G147" s="101" t="s">
        <v>228</v>
      </c>
      <c r="H147" s="48"/>
      <c r="I147" s="295">
        <f>SUM(I148:I148)</f>
        <v>161016</v>
      </c>
      <c r="J147" s="43"/>
    </row>
    <row r="148" spans="1:12" s="12" customFormat="1">
      <c r="A148" s="113"/>
      <c r="B148" s="114"/>
      <c r="C148" s="115"/>
      <c r="D148" s="115"/>
      <c r="E148" s="115"/>
      <c r="F148" s="116"/>
      <c r="G148" s="313" t="s">
        <v>304</v>
      </c>
      <c r="H148" s="48" t="s">
        <v>27</v>
      </c>
      <c r="I148" s="314">
        <v>161016</v>
      </c>
      <c r="J148" s="50"/>
    </row>
    <row r="149" spans="1:12">
      <c r="A149" s="20"/>
      <c r="B149" s="15"/>
      <c r="C149" s="6"/>
      <c r="D149" s="6"/>
      <c r="E149" s="6"/>
      <c r="F149" s="82"/>
      <c r="G149" s="101" t="s">
        <v>340</v>
      </c>
      <c r="H149" s="110"/>
      <c r="I149" s="103">
        <f>SUM(I150:I151)</f>
        <v>88000</v>
      </c>
      <c r="J149" s="50"/>
      <c r="L149" s="3"/>
    </row>
    <row r="150" spans="1:12">
      <c r="A150" s="20"/>
      <c r="B150" s="15"/>
      <c r="C150" s="6"/>
      <c r="D150" s="6"/>
      <c r="E150" s="6"/>
      <c r="F150" s="82"/>
      <c r="G150" s="47" t="s">
        <v>281</v>
      </c>
      <c r="H150" s="48" t="s">
        <v>27</v>
      </c>
      <c r="I150" s="49">
        <v>60000</v>
      </c>
      <c r="J150" s="50"/>
      <c r="L150" s="3"/>
    </row>
    <row r="151" spans="1:12">
      <c r="A151" s="20"/>
      <c r="B151" s="15"/>
      <c r="C151" s="6"/>
      <c r="D151" s="6"/>
      <c r="E151" s="6"/>
      <c r="F151" s="82"/>
      <c r="G151" s="47" t="s">
        <v>338</v>
      </c>
      <c r="H151" s="48" t="s">
        <v>27</v>
      </c>
      <c r="I151" s="49">
        <v>28000</v>
      </c>
      <c r="J151" s="50"/>
      <c r="L151" s="3"/>
    </row>
    <row r="152" spans="1:12" s="12" customFormat="1">
      <c r="A152" s="118" t="s">
        <v>23</v>
      </c>
      <c r="B152" s="119"/>
      <c r="C152" s="120">
        <v>595186</v>
      </c>
      <c r="D152" s="120"/>
      <c r="E152" s="120">
        <f>I152+I156+I161+I163+I172+I174+I176</f>
        <v>849700</v>
      </c>
      <c r="F152" s="121">
        <f>E152-C152</f>
        <v>254514</v>
      </c>
      <c r="G152" s="101" t="s">
        <v>32</v>
      </c>
      <c r="H152" s="110"/>
      <c r="I152" s="103">
        <f>SUM(I153:I155)</f>
        <v>46650</v>
      </c>
      <c r="J152" s="55"/>
    </row>
    <row r="153" spans="1:12" s="12" customFormat="1">
      <c r="A153" s="113"/>
      <c r="B153" s="114"/>
      <c r="C153" s="242"/>
      <c r="D153" s="242"/>
      <c r="E153" s="242"/>
      <c r="F153" s="242"/>
      <c r="G153" s="47" t="s">
        <v>205</v>
      </c>
      <c r="H153" s="48" t="s">
        <v>27</v>
      </c>
      <c r="I153" s="49">
        <f>550*53</f>
        <v>29150</v>
      </c>
      <c r="J153" s="50"/>
    </row>
    <row r="154" spans="1:12" s="12" customFormat="1">
      <c r="A154" s="113"/>
      <c r="B154" s="114"/>
      <c r="C154" s="115"/>
      <c r="D154" s="115"/>
      <c r="E154" s="115"/>
      <c r="F154" s="116"/>
      <c r="G154" s="47" t="s">
        <v>167</v>
      </c>
      <c r="H154" s="48" t="s">
        <v>27</v>
      </c>
      <c r="I154" s="49">
        <f>500*5</f>
        <v>2500</v>
      </c>
      <c r="J154" s="50"/>
    </row>
    <row r="155" spans="1:12" s="12" customFormat="1">
      <c r="A155" s="113"/>
      <c r="B155" s="114"/>
      <c r="C155" s="115"/>
      <c r="D155" s="115"/>
      <c r="E155" s="115"/>
      <c r="F155" s="116"/>
      <c r="G155" s="47" t="s">
        <v>336</v>
      </c>
      <c r="H155" s="48" t="s">
        <v>27</v>
      </c>
      <c r="I155" s="49">
        <f>1500*10</f>
        <v>15000</v>
      </c>
      <c r="J155" s="50"/>
    </row>
    <row r="156" spans="1:12" s="12" customFormat="1">
      <c r="A156" s="113"/>
      <c r="B156" s="114"/>
      <c r="C156" s="115"/>
      <c r="D156" s="115"/>
      <c r="E156" s="115"/>
      <c r="F156" s="116"/>
      <c r="G156" s="101" t="s">
        <v>33</v>
      </c>
      <c r="H156" s="110"/>
      <c r="I156" s="103">
        <f>SUM(I157:I160)</f>
        <v>39800</v>
      </c>
      <c r="J156" s="55"/>
    </row>
    <row r="157" spans="1:12" s="12" customFormat="1">
      <c r="A157" s="113"/>
      <c r="B157" s="114"/>
      <c r="C157" s="115"/>
      <c r="D157" s="115"/>
      <c r="E157" s="115"/>
      <c r="F157" s="116"/>
      <c r="G157" s="47" t="s">
        <v>179</v>
      </c>
      <c r="H157" s="48" t="s">
        <v>27</v>
      </c>
      <c r="I157" s="49">
        <f>650*2*6</f>
        <v>7800</v>
      </c>
      <c r="J157" s="50"/>
    </row>
    <row r="158" spans="1:12" s="12" customFormat="1">
      <c r="A158" s="113"/>
      <c r="B158" s="114"/>
      <c r="C158" s="115"/>
      <c r="D158" s="115"/>
      <c r="E158" s="115"/>
      <c r="F158" s="116"/>
      <c r="G158" s="47" t="s">
        <v>211</v>
      </c>
      <c r="H158" s="48" t="s">
        <v>27</v>
      </c>
      <c r="I158" s="49">
        <f>3500*2</f>
        <v>7000</v>
      </c>
      <c r="J158" s="50"/>
    </row>
    <row r="159" spans="1:12" s="12" customFormat="1">
      <c r="A159" s="113"/>
      <c r="B159" s="114"/>
      <c r="C159" s="115"/>
      <c r="D159" s="115"/>
      <c r="E159" s="115"/>
      <c r="F159" s="116"/>
      <c r="G159" s="47" t="s">
        <v>166</v>
      </c>
      <c r="H159" s="48" t="s">
        <v>27</v>
      </c>
      <c r="I159" s="49">
        <f>5000*2</f>
        <v>10000</v>
      </c>
      <c r="J159" s="50"/>
    </row>
    <row r="160" spans="1:12" s="12" customFormat="1">
      <c r="A160" s="113"/>
      <c r="B160" s="114"/>
      <c r="C160" s="115"/>
      <c r="D160" s="115"/>
      <c r="E160" s="115"/>
      <c r="F160" s="116"/>
      <c r="G160" s="51" t="s">
        <v>244</v>
      </c>
      <c r="H160" s="52" t="s">
        <v>27</v>
      </c>
      <c r="I160" s="53">
        <f>5000*3</f>
        <v>15000</v>
      </c>
      <c r="J160" s="54"/>
    </row>
    <row r="161" spans="1:10" s="12" customFormat="1" ht="15.75" customHeight="1">
      <c r="A161" s="113"/>
      <c r="B161" s="114"/>
      <c r="C161" s="115"/>
      <c r="D161" s="115"/>
      <c r="E161" s="115"/>
      <c r="F161" s="116"/>
      <c r="G161" s="101" t="s">
        <v>113</v>
      </c>
      <c r="H161" s="110"/>
      <c r="I161" s="103">
        <f>SUM(I162:I162)</f>
        <v>108100</v>
      </c>
      <c r="J161" s="55"/>
    </row>
    <row r="162" spans="1:10">
      <c r="A162" s="20"/>
      <c r="B162" s="15"/>
      <c r="C162" s="6"/>
      <c r="D162" s="6"/>
      <c r="E162" s="6"/>
      <c r="F162" s="82"/>
      <c r="G162" s="47" t="s">
        <v>339</v>
      </c>
      <c r="H162" s="48" t="s">
        <v>27</v>
      </c>
      <c r="I162" s="49">
        <f>23*94*50</f>
        <v>108100</v>
      </c>
      <c r="J162" s="43"/>
    </row>
    <row r="163" spans="1:10">
      <c r="A163" s="20"/>
      <c r="B163" s="15"/>
      <c r="C163" s="6"/>
      <c r="D163" s="6"/>
      <c r="E163" s="6"/>
      <c r="F163" s="82"/>
      <c r="G163" s="337" t="s">
        <v>102</v>
      </c>
      <c r="H163" s="345"/>
      <c r="I163" s="339">
        <f>SUM(I164:I171)</f>
        <v>598150</v>
      </c>
      <c r="J163" s="42"/>
    </row>
    <row r="164" spans="1:10">
      <c r="A164" s="20"/>
      <c r="B164" s="15"/>
      <c r="C164" s="6"/>
      <c r="D164" s="6"/>
      <c r="E164" s="6"/>
      <c r="F164" s="82"/>
      <c r="G164" s="313" t="s">
        <v>245</v>
      </c>
      <c r="H164" s="331" t="s">
        <v>27</v>
      </c>
      <c r="I164" s="314">
        <f>40000*2</f>
        <v>80000</v>
      </c>
      <c r="J164" s="43"/>
    </row>
    <row r="165" spans="1:10">
      <c r="A165" s="20"/>
      <c r="B165" s="15"/>
      <c r="C165" s="6"/>
      <c r="D165" s="6"/>
      <c r="E165" s="6"/>
      <c r="F165" s="82"/>
      <c r="G165" s="313" t="s">
        <v>247</v>
      </c>
      <c r="H165" s="331" t="s">
        <v>27</v>
      </c>
      <c r="I165" s="314">
        <f>15000*2</f>
        <v>30000</v>
      </c>
      <c r="J165" s="43"/>
    </row>
    <row r="166" spans="1:10">
      <c r="A166" s="20"/>
      <c r="B166" s="15"/>
      <c r="C166" s="6"/>
      <c r="D166" s="6"/>
      <c r="E166" s="6"/>
      <c r="F166" s="82"/>
      <c r="G166" s="313" t="s">
        <v>296</v>
      </c>
      <c r="H166" s="331" t="s">
        <v>27</v>
      </c>
      <c r="I166" s="314">
        <f>7000*3</f>
        <v>21000</v>
      </c>
      <c r="J166" s="43"/>
    </row>
    <row r="167" spans="1:10">
      <c r="A167" s="20"/>
      <c r="B167" s="15"/>
      <c r="C167" s="6"/>
      <c r="D167" s="6"/>
      <c r="E167" s="6"/>
      <c r="F167" s="82"/>
      <c r="G167" s="313" t="s">
        <v>351</v>
      </c>
      <c r="H167" s="331" t="s">
        <v>350</v>
      </c>
      <c r="I167" s="314">
        <v>112693</v>
      </c>
      <c r="J167" s="43"/>
    </row>
    <row r="168" spans="1:10">
      <c r="A168" s="20"/>
      <c r="B168" s="15"/>
      <c r="C168" s="6"/>
      <c r="D168" s="6"/>
      <c r="E168" s="6"/>
      <c r="F168" s="82"/>
      <c r="G168" s="313" t="s">
        <v>354</v>
      </c>
      <c r="H168" s="331" t="s">
        <v>27</v>
      </c>
      <c r="I168" s="314">
        <v>60307</v>
      </c>
      <c r="J168" s="43"/>
    </row>
    <row r="169" spans="1:10">
      <c r="A169" s="20"/>
      <c r="B169" s="15"/>
      <c r="C169" s="6"/>
      <c r="D169" s="6"/>
      <c r="E169" s="6"/>
      <c r="F169" s="82"/>
      <c r="G169" s="313" t="s">
        <v>297</v>
      </c>
      <c r="H169" s="331" t="s">
        <v>27</v>
      </c>
      <c r="I169" s="314">
        <f>325*20*5+425*20*2.5</f>
        <v>53750</v>
      </c>
      <c r="J169" s="43"/>
    </row>
    <row r="170" spans="1:10">
      <c r="A170" s="20"/>
      <c r="B170" s="15"/>
      <c r="C170" s="6"/>
      <c r="D170" s="6"/>
      <c r="E170" s="6"/>
      <c r="F170" s="82"/>
      <c r="G170" s="313" t="s">
        <v>355</v>
      </c>
      <c r="H170" s="331" t="s">
        <v>356</v>
      </c>
      <c r="I170" s="314">
        <v>100000</v>
      </c>
      <c r="J170" s="43"/>
    </row>
    <row r="171" spans="1:10">
      <c r="A171" s="20"/>
      <c r="B171" s="15"/>
      <c r="C171" s="6"/>
      <c r="D171" s="6"/>
      <c r="E171" s="6"/>
      <c r="F171" s="82"/>
      <c r="G171" s="288" t="s">
        <v>246</v>
      </c>
      <c r="H171" s="289" t="s">
        <v>27</v>
      </c>
      <c r="I171" s="290">
        <f>15600*9</f>
        <v>140400</v>
      </c>
      <c r="J171" s="300"/>
    </row>
    <row r="172" spans="1:10">
      <c r="A172" s="56"/>
      <c r="B172" s="15"/>
      <c r="C172" s="6"/>
      <c r="D172" s="6"/>
      <c r="E172" s="6"/>
      <c r="F172" s="127"/>
      <c r="G172" s="104" t="s">
        <v>214</v>
      </c>
      <c r="H172" s="291"/>
      <c r="I172" s="301">
        <f>SUM(I173)</f>
        <v>27000</v>
      </c>
      <c r="J172" s="302"/>
    </row>
    <row r="173" spans="1:10">
      <c r="A173" s="56"/>
      <c r="B173" s="15"/>
      <c r="C173" s="6"/>
      <c r="D173" s="6"/>
      <c r="E173" s="6"/>
      <c r="F173" s="127"/>
      <c r="G173" s="109" t="s">
        <v>250</v>
      </c>
      <c r="H173" s="289" t="s">
        <v>27</v>
      </c>
      <c r="I173" s="292">
        <f>750*1*12*3</f>
        <v>27000</v>
      </c>
      <c r="J173" s="303"/>
    </row>
    <row r="174" spans="1:10" s="12" customFormat="1">
      <c r="A174" s="117"/>
      <c r="B174" s="114"/>
      <c r="C174" s="115"/>
      <c r="D174" s="115"/>
      <c r="E174" s="115"/>
      <c r="F174" s="128"/>
      <c r="G174" s="129" t="s">
        <v>248</v>
      </c>
      <c r="H174" s="293"/>
      <c r="I174" s="316">
        <f>I175</f>
        <v>30000</v>
      </c>
      <c r="J174" s="130"/>
    </row>
    <row r="175" spans="1:10" s="12" customFormat="1">
      <c r="A175" s="117"/>
      <c r="B175" s="114"/>
      <c r="C175" s="115"/>
      <c r="D175" s="115"/>
      <c r="E175" s="115"/>
      <c r="F175" s="128"/>
      <c r="G175" s="315" t="s">
        <v>337</v>
      </c>
      <c r="H175" s="289" t="s">
        <v>27</v>
      </c>
      <c r="I175" s="292">
        <v>30000</v>
      </c>
      <c r="J175" s="50"/>
    </row>
    <row r="176" spans="1:10">
      <c r="A176" s="56"/>
      <c r="B176" s="15"/>
      <c r="C176" s="6"/>
      <c r="D176" s="6"/>
      <c r="E176" s="6"/>
      <c r="F176" s="82"/>
      <c r="G176" s="111" t="s">
        <v>249</v>
      </c>
      <c r="H176" s="112"/>
      <c r="I176" s="137">
        <v>0</v>
      </c>
      <c r="J176" s="42"/>
    </row>
    <row r="177" spans="1:10" s="11" customFormat="1" ht="16.5" customHeight="1">
      <c r="A177" s="91"/>
      <c r="B177" s="420" t="s">
        <v>79</v>
      </c>
      <c r="C177" s="5">
        <v>24000</v>
      </c>
      <c r="D177" s="5"/>
      <c r="E177" s="5">
        <f>SUM(I177)</f>
        <v>24000</v>
      </c>
      <c r="F177" s="121">
        <f>E177-C177</f>
        <v>0</v>
      </c>
      <c r="G177" s="101" t="s">
        <v>109</v>
      </c>
      <c r="H177" s="110"/>
      <c r="I177" s="103">
        <f>SUM(I178:I179)</f>
        <v>24000</v>
      </c>
      <c r="J177" s="84"/>
    </row>
    <row r="178" spans="1:10" s="11" customFormat="1" ht="16.5" customHeight="1">
      <c r="A178" s="91"/>
      <c r="B178" s="421"/>
      <c r="C178" s="242"/>
      <c r="D178" s="242"/>
      <c r="E178" s="242"/>
      <c r="F178" s="242"/>
      <c r="G178" s="47" t="s">
        <v>208</v>
      </c>
      <c r="H178" s="48" t="s">
        <v>27</v>
      </c>
      <c r="I178" s="49">
        <f>1500*2</f>
        <v>3000</v>
      </c>
      <c r="J178" s="85"/>
    </row>
    <row r="179" spans="1:10" ht="17.25" customHeight="1" thickBot="1">
      <c r="A179" s="56"/>
      <c r="B179" s="422"/>
      <c r="C179" s="6"/>
      <c r="D179" s="6"/>
      <c r="E179" s="6"/>
      <c r="F179" s="82"/>
      <c r="G179" s="47" t="s">
        <v>215</v>
      </c>
      <c r="H179" s="48" t="s">
        <v>27</v>
      </c>
      <c r="I179" s="49">
        <f>350*12*5</f>
        <v>21000</v>
      </c>
      <c r="J179" s="79"/>
    </row>
    <row r="180" spans="1:10" ht="16.5" customHeight="1">
      <c r="A180" s="396" t="s">
        <v>24</v>
      </c>
      <c r="B180" s="397"/>
      <c r="C180" s="206">
        <f>C182</f>
        <v>20000</v>
      </c>
      <c r="D180" s="206">
        <v>0</v>
      </c>
      <c r="E180" s="206">
        <f>E182</f>
        <v>20000</v>
      </c>
      <c r="F180" s="206">
        <f>E180-C180</f>
        <v>0</v>
      </c>
      <c r="G180" s="199"/>
      <c r="H180" s="200" t="s">
        <v>27</v>
      </c>
      <c r="I180" s="201"/>
      <c r="J180" s="202"/>
    </row>
    <row r="181" spans="1:10" ht="16.5" customHeight="1">
      <c r="A181" s="191"/>
      <c r="B181" s="205"/>
      <c r="C181" s="243"/>
      <c r="D181" s="238"/>
      <c r="E181" s="243"/>
      <c r="F181" s="243"/>
      <c r="G181" s="193"/>
      <c r="H181" s="194"/>
      <c r="I181" s="195"/>
      <c r="J181" s="196"/>
    </row>
    <row r="182" spans="1:10" ht="16.5" customHeight="1">
      <c r="A182" s="19"/>
      <c r="B182" s="18" t="s">
        <v>45</v>
      </c>
      <c r="C182" s="298">
        <v>20000</v>
      </c>
      <c r="D182" s="143"/>
      <c r="E182" s="143">
        <f>I182</f>
        <v>20000</v>
      </c>
      <c r="F182" s="121">
        <f>E182-C182</f>
        <v>0</v>
      </c>
      <c r="G182" s="40" t="s">
        <v>96</v>
      </c>
      <c r="H182" s="45"/>
      <c r="I182" s="41">
        <f>SUM(I183)</f>
        <v>20000</v>
      </c>
      <c r="J182" s="42"/>
    </row>
    <row r="183" spans="1:10" ht="16.5" customHeight="1" thickBot="1">
      <c r="A183" s="17"/>
      <c r="B183" s="141"/>
      <c r="C183" s="242"/>
      <c r="D183" s="240"/>
      <c r="E183" s="242"/>
      <c r="F183" s="242"/>
      <c r="G183" s="47" t="s">
        <v>251</v>
      </c>
      <c r="H183" s="48" t="s">
        <v>27</v>
      </c>
      <c r="I183" s="49">
        <f>5000*4</f>
        <v>20000</v>
      </c>
      <c r="J183" s="43"/>
    </row>
    <row r="184" spans="1:10" ht="16.5" customHeight="1">
      <c r="A184" s="396" t="s">
        <v>14</v>
      </c>
      <c r="B184" s="397"/>
      <c r="C184" s="206">
        <f>SUM(C186)</f>
        <v>1672608</v>
      </c>
      <c r="D184" s="206">
        <v>0</v>
      </c>
      <c r="E184" s="206">
        <f>SUM(E186)</f>
        <v>1821285</v>
      </c>
      <c r="F184" s="206">
        <f>E184-C184</f>
        <v>148677</v>
      </c>
      <c r="G184" s="199"/>
      <c r="H184" s="200" t="s">
        <v>27</v>
      </c>
      <c r="I184" s="201"/>
      <c r="J184" s="202"/>
    </row>
    <row r="185" spans="1:10" ht="16.5" customHeight="1">
      <c r="A185" s="191"/>
      <c r="B185" s="205"/>
      <c r="C185" s="243"/>
      <c r="D185" s="240"/>
      <c r="E185" s="243"/>
      <c r="F185" s="243"/>
      <c r="G185" s="193"/>
      <c r="H185" s="194"/>
      <c r="I185" s="195"/>
      <c r="J185" s="196"/>
    </row>
    <row r="186" spans="1:10" ht="16.5" customHeight="1">
      <c r="A186" s="19"/>
      <c r="B186" s="142" t="s">
        <v>46</v>
      </c>
      <c r="C186" s="5">
        <v>1672608</v>
      </c>
      <c r="D186" s="5"/>
      <c r="E186" s="5">
        <f>I186</f>
        <v>1821285</v>
      </c>
      <c r="F186" s="81">
        <f>E186-C186</f>
        <v>148677</v>
      </c>
      <c r="G186" s="40" t="s">
        <v>95</v>
      </c>
      <c r="H186" s="45"/>
      <c r="I186" s="41">
        <f>SUM(I187:I189)</f>
        <v>1821285</v>
      </c>
      <c r="J186" s="42"/>
    </row>
    <row r="187" spans="1:10" ht="16.5" customHeight="1">
      <c r="A187" s="17"/>
      <c r="B187" s="141"/>
      <c r="C187" s="6"/>
      <c r="D187" s="6"/>
      <c r="E187" s="6"/>
      <c r="F187" s="82"/>
      <c r="G187" s="358" t="s">
        <v>349</v>
      </c>
      <c r="H187" s="357"/>
      <c r="I187" s="359">
        <v>1248285</v>
      </c>
      <c r="J187" s="43"/>
    </row>
    <row r="188" spans="1:10" ht="16.5" customHeight="1">
      <c r="A188" s="17"/>
      <c r="B188" s="141"/>
      <c r="C188" s="242"/>
      <c r="D188" s="6"/>
      <c r="E188" s="242"/>
      <c r="F188" s="242"/>
      <c r="G188" s="313" t="s">
        <v>348</v>
      </c>
      <c r="H188" s="331" t="s">
        <v>27</v>
      </c>
      <c r="I188" s="314">
        <v>553000</v>
      </c>
      <c r="J188" s="43"/>
    </row>
    <row r="189" spans="1:10" ht="16.5" customHeight="1" thickBot="1">
      <c r="A189" s="17"/>
      <c r="B189" s="141"/>
      <c r="C189" s="242"/>
      <c r="D189" s="240"/>
      <c r="E189" s="242"/>
      <c r="F189" s="242"/>
      <c r="G189" s="47" t="s">
        <v>188</v>
      </c>
      <c r="H189" s="48" t="s">
        <v>27</v>
      </c>
      <c r="I189" s="49">
        <f>10000*2</f>
        <v>20000</v>
      </c>
      <c r="J189" s="43"/>
    </row>
    <row r="190" spans="1:10" ht="16.5" customHeight="1">
      <c r="A190" s="414" t="s">
        <v>12</v>
      </c>
      <c r="B190" s="415"/>
      <c r="C190" s="197">
        <f>SUM(C192,C203,C205,C215,C222)</f>
        <v>2312510</v>
      </c>
      <c r="D190" s="197">
        <v>0</v>
      </c>
      <c r="E190" s="197">
        <f>SUM(E192,E203,E205,E215,E222)</f>
        <v>1115149</v>
      </c>
      <c r="F190" s="198">
        <f>E190-C190</f>
        <v>-1197361</v>
      </c>
      <c r="G190" s="199"/>
      <c r="H190" s="200" t="s">
        <v>27</v>
      </c>
      <c r="I190" s="201"/>
      <c r="J190" s="202"/>
    </row>
    <row r="191" spans="1:10" ht="16.5" customHeight="1">
      <c r="A191" s="203"/>
      <c r="B191" s="204"/>
      <c r="C191" s="243"/>
      <c r="D191" s="243"/>
      <c r="E191" s="243"/>
      <c r="F191" s="243"/>
      <c r="G191" s="193"/>
      <c r="H191" s="194"/>
      <c r="I191" s="195"/>
      <c r="J191" s="196"/>
    </row>
    <row r="192" spans="1:10" ht="16.5" customHeight="1">
      <c r="A192" s="19"/>
      <c r="B192" s="18" t="s">
        <v>47</v>
      </c>
      <c r="C192" s="5">
        <v>45844</v>
      </c>
      <c r="D192" s="5"/>
      <c r="E192" s="5">
        <f>SUM(I192,I195,I198)</f>
        <v>63360</v>
      </c>
      <c r="F192" s="81">
        <f>E192-C192</f>
        <v>17516</v>
      </c>
      <c r="G192" s="101" t="s">
        <v>131</v>
      </c>
      <c r="H192" s="110"/>
      <c r="I192" s="103">
        <f>SUM(I193:I194)</f>
        <v>9900</v>
      </c>
      <c r="J192" s="42"/>
    </row>
    <row r="193" spans="1:10" ht="16.5" customHeight="1">
      <c r="A193" s="20"/>
      <c r="B193" s="15"/>
      <c r="C193" s="242"/>
      <c r="D193" s="240"/>
      <c r="E193" s="242"/>
      <c r="F193" s="242"/>
      <c r="G193" s="47" t="s">
        <v>290</v>
      </c>
      <c r="H193" s="48" t="s">
        <v>27</v>
      </c>
      <c r="I193" s="49">
        <f>300*33</f>
        <v>9900</v>
      </c>
      <c r="J193" s="43"/>
    </row>
    <row r="194" spans="1:10" ht="16.5" customHeight="1">
      <c r="A194" s="20"/>
      <c r="B194" s="15"/>
      <c r="C194" s="6"/>
      <c r="D194" s="6"/>
      <c r="E194" s="6"/>
      <c r="F194" s="82"/>
      <c r="G194" s="51"/>
      <c r="H194" s="52" t="s">
        <v>27</v>
      </c>
      <c r="I194" s="53">
        <v>0</v>
      </c>
      <c r="J194" s="44"/>
    </row>
    <row r="195" spans="1:10" ht="16.5" customHeight="1">
      <c r="A195" s="20"/>
      <c r="B195" s="15"/>
      <c r="C195" s="6"/>
      <c r="D195" s="6"/>
      <c r="E195" s="6"/>
      <c r="F195" s="82"/>
      <c r="G195" s="101" t="s">
        <v>132</v>
      </c>
      <c r="H195" s="110"/>
      <c r="I195" s="103">
        <f>SUM(I196:I197)</f>
        <v>5405</v>
      </c>
      <c r="J195" s="55"/>
    </row>
    <row r="196" spans="1:10" ht="16.5" customHeight="1">
      <c r="A196" s="20"/>
      <c r="B196" s="15"/>
      <c r="C196" s="6"/>
      <c r="D196" s="6"/>
      <c r="E196" s="6"/>
      <c r="F196" s="82"/>
      <c r="G196" s="47" t="s">
        <v>291</v>
      </c>
      <c r="H196" s="48" t="s">
        <v>27</v>
      </c>
      <c r="I196" s="49">
        <v>5405</v>
      </c>
      <c r="J196" s="50"/>
    </row>
    <row r="197" spans="1:10" ht="16.5" customHeight="1">
      <c r="A197" s="20"/>
      <c r="B197" s="15"/>
      <c r="C197" s="6"/>
      <c r="D197" s="6"/>
      <c r="E197" s="6"/>
      <c r="F197" s="82"/>
      <c r="G197" s="51"/>
      <c r="H197" s="52" t="s">
        <v>27</v>
      </c>
      <c r="I197" s="53">
        <v>0</v>
      </c>
      <c r="J197" s="54"/>
    </row>
    <row r="198" spans="1:10" ht="16.5" customHeight="1">
      <c r="A198" s="20"/>
      <c r="B198" s="15"/>
      <c r="C198" s="6"/>
      <c r="D198" s="6"/>
      <c r="E198" s="6"/>
      <c r="F198" s="82"/>
      <c r="G198" s="101" t="s">
        <v>143</v>
      </c>
      <c r="H198" s="110"/>
      <c r="I198" s="103">
        <f>SUM(I199:I202)</f>
        <v>48055</v>
      </c>
      <c r="J198" s="42"/>
    </row>
    <row r="199" spans="1:10" ht="16.5" customHeight="1">
      <c r="A199" s="20"/>
      <c r="B199" s="15"/>
      <c r="C199" s="6"/>
      <c r="D199" s="6"/>
      <c r="E199" s="6"/>
      <c r="F199" s="82"/>
      <c r="G199" s="47" t="s">
        <v>279</v>
      </c>
      <c r="H199" s="48" t="s">
        <v>27</v>
      </c>
      <c r="I199" s="49">
        <v>18750</v>
      </c>
      <c r="J199" s="43"/>
    </row>
    <row r="200" spans="1:10" ht="16.5" customHeight="1">
      <c r="A200" s="20"/>
      <c r="B200" s="15"/>
      <c r="C200" s="6"/>
      <c r="D200" s="6"/>
      <c r="E200" s="6"/>
      <c r="F200" s="82"/>
      <c r="G200" s="47" t="s">
        <v>277</v>
      </c>
      <c r="H200" s="48" t="s">
        <v>27</v>
      </c>
      <c r="I200" s="49">
        <v>28025</v>
      </c>
      <c r="J200" s="43"/>
    </row>
    <row r="201" spans="1:10" ht="16.5" customHeight="1">
      <c r="A201" s="20"/>
      <c r="B201" s="15"/>
      <c r="C201" s="6"/>
      <c r="D201" s="6"/>
      <c r="E201" s="6"/>
      <c r="F201" s="82"/>
      <c r="G201" s="47" t="s">
        <v>278</v>
      </c>
      <c r="H201" s="48" t="s">
        <v>27</v>
      </c>
      <c r="I201" s="49">
        <v>1280</v>
      </c>
      <c r="J201" s="43"/>
    </row>
    <row r="202" spans="1:10" ht="16.5" customHeight="1">
      <c r="A202" s="20"/>
      <c r="B202" s="14"/>
      <c r="C202" s="7"/>
      <c r="D202" s="7"/>
      <c r="E202" s="7"/>
      <c r="F202" s="83"/>
      <c r="G202" s="51"/>
      <c r="H202" s="52"/>
      <c r="I202" s="53"/>
      <c r="J202" s="44"/>
    </row>
    <row r="203" spans="1:10" s="125" customFormat="1" ht="16.5" customHeight="1">
      <c r="A203" s="124"/>
      <c r="B203" s="210" t="s">
        <v>82</v>
      </c>
      <c r="C203" s="235">
        <v>0</v>
      </c>
      <c r="D203" s="235">
        <v>0</v>
      </c>
      <c r="E203" s="235">
        <v>0</v>
      </c>
      <c r="F203" s="81">
        <f>E203-C203</f>
        <v>0</v>
      </c>
      <c r="G203" s="101" t="s">
        <v>35</v>
      </c>
      <c r="H203" s="110"/>
      <c r="I203" s="207">
        <v>0</v>
      </c>
      <c r="J203" s="126"/>
    </row>
    <row r="204" spans="1:10" s="125" customFormat="1" ht="16.5" customHeight="1">
      <c r="A204" s="124"/>
      <c r="B204" s="208"/>
      <c r="C204" s="242"/>
      <c r="D204" s="242"/>
      <c r="E204" s="242"/>
      <c r="F204" s="242"/>
      <c r="G204" s="111"/>
      <c r="H204" s="112"/>
      <c r="I204" s="137"/>
      <c r="J204" s="209"/>
    </row>
    <row r="205" spans="1:10" ht="16.5" customHeight="1">
      <c r="A205" s="21"/>
      <c r="B205" s="18" t="s">
        <v>48</v>
      </c>
      <c r="C205" s="5">
        <v>1217450</v>
      </c>
      <c r="D205" s="5"/>
      <c r="E205" s="5">
        <f>SUM(I205,I207,I211,I209,I213)</f>
        <v>0</v>
      </c>
      <c r="F205" s="81">
        <f>E205-C205</f>
        <v>-1217450</v>
      </c>
      <c r="G205" s="101" t="s">
        <v>114</v>
      </c>
      <c r="H205" s="110"/>
      <c r="I205" s="103">
        <f>SUM(I206)</f>
        <v>0</v>
      </c>
      <c r="J205" s="46"/>
    </row>
    <row r="206" spans="1:10">
      <c r="A206" s="20"/>
      <c r="B206" s="15"/>
      <c r="C206" s="242"/>
      <c r="D206" s="242"/>
      <c r="E206" s="242"/>
      <c r="F206" s="242"/>
      <c r="G206" s="51"/>
      <c r="H206" s="52" t="s">
        <v>27</v>
      </c>
      <c r="I206" s="53"/>
      <c r="J206" s="44"/>
    </row>
    <row r="207" spans="1:10">
      <c r="A207" s="20"/>
      <c r="B207" s="15"/>
      <c r="C207" s="6"/>
      <c r="D207" s="6"/>
      <c r="E207" s="6"/>
      <c r="F207" s="82"/>
      <c r="G207" s="101" t="s">
        <v>146</v>
      </c>
      <c r="H207" s="110"/>
      <c r="I207" s="103">
        <f>SUM(I208:I208)</f>
        <v>0</v>
      </c>
      <c r="J207" s="42"/>
    </row>
    <row r="208" spans="1:10" s="12" customFormat="1">
      <c r="A208" s="113"/>
      <c r="B208" s="114"/>
      <c r="C208" s="115"/>
      <c r="D208" s="115"/>
      <c r="E208" s="115"/>
      <c r="F208" s="116"/>
      <c r="G208" s="47"/>
      <c r="H208" s="48"/>
      <c r="I208" s="49"/>
      <c r="J208" s="50"/>
    </row>
    <row r="209" spans="1:12">
      <c r="A209" s="20"/>
      <c r="B209" s="15"/>
      <c r="C209" s="6"/>
      <c r="D209" s="6"/>
      <c r="E209" s="6"/>
      <c r="F209" s="127"/>
      <c r="G209" s="297" t="s">
        <v>171</v>
      </c>
      <c r="H209" s="326"/>
      <c r="I209" s="327">
        <f>I210</f>
        <v>0</v>
      </c>
      <c r="J209" s="304"/>
    </row>
    <row r="210" spans="1:12">
      <c r="A210" s="20"/>
      <c r="B210" s="15"/>
      <c r="C210" s="6"/>
      <c r="D210" s="6"/>
      <c r="E210" s="6"/>
      <c r="F210" s="127"/>
      <c r="G210" s="109"/>
      <c r="H210" s="289"/>
      <c r="I210" s="100"/>
      <c r="J210" s="43"/>
    </row>
    <row r="211" spans="1:12">
      <c r="A211" s="20"/>
      <c r="B211" s="15"/>
      <c r="C211" s="6"/>
      <c r="D211" s="6"/>
      <c r="E211" s="6"/>
      <c r="F211" s="82"/>
      <c r="G211" s="111" t="s">
        <v>170</v>
      </c>
      <c r="H211" s="48"/>
      <c r="I211" s="295">
        <f>SUM(I212:I212)</f>
        <v>0</v>
      </c>
      <c r="J211" s="43"/>
    </row>
    <row r="212" spans="1:12">
      <c r="A212" s="20"/>
      <c r="B212" s="15"/>
      <c r="C212" s="6"/>
      <c r="D212" s="6"/>
      <c r="E212" s="6"/>
      <c r="F212" s="82"/>
      <c r="G212" s="107"/>
      <c r="H212" s="98" t="s">
        <v>27</v>
      </c>
      <c r="I212" s="108">
        <v>0</v>
      </c>
      <c r="J212" s="59"/>
    </row>
    <row r="213" spans="1:12">
      <c r="A213" s="20"/>
      <c r="B213" s="15"/>
      <c r="C213" s="6"/>
      <c r="D213" s="6"/>
      <c r="E213" s="6"/>
      <c r="F213" s="82"/>
      <c r="G213" s="297" t="s">
        <v>252</v>
      </c>
      <c r="H213" s="317"/>
      <c r="I213" s="318">
        <f>SUM(I214)</f>
        <v>0</v>
      </c>
      <c r="J213" s="59"/>
    </row>
    <row r="214" spans="1:12">
      <c r="A214" s="20"/>
      <c r="B214" s="15"/>
      <c r="C214" s="6"/>
      <c r="D214" s="6"/>
      <c r="E214" s="6"/>
      <c r="F214" s="82"/>
      <c r="G214" s="107"/>
      <c r="H214" s="99" t="s">
        <v>27</v>
      </c>
      <c r="I214" s="108">
        <v>0</v>
      </c>
      <c r="J214" s="59"/>
    </row>
    <row r="215" spans="1:12" ht="16.5" customHeight="1">
      <c r="A215" s="21"/>
      <c r="B215" s="416" t="s">
        <v>49</v>
      </c>
      <c r="C215" s="5">
        <v>454400</v>
      </c>
      <c r="D215" s="5"/>
      <c r="E215" s="5">
        <f>SUM(I215,I219)</f>
        <v>597000</v>
      </c>
      <c r="F215" s="81">
        <f>E215-C215</f>
        <v>142600</v>
      </c>
      <c r="G215" s="101" t="s">
        <v>92</v>
      </c>
      <c r="H215" s="110"/>
      <c r="I215" s="103">
        <f>I216+I217+I218</f>
        <v>223400</v>
      </c>
      <c r="J215" s="55"/>
    </row>
    <row r="216" spans="1:12">
      <c r="A216" s="26"/>
      <c r="B216" s="417"/>
      <c r="C216" s="242"/>
      <c r="D216" s="242"/>
      <c r="E216" s="242"/>
      <c r="F216" s="242"/>
      <c r="G216" s="47" t="s">
        <v>281</v>
      </c>
      <c r="H216" s="48" t="s">
        <v>27</v>
      </c>
      <c r="I216" s="49">
        <v>207280</v>
      </c>
      <c r="J216" s="50"/>
    </row>
    <row r="217" spans="1:12">
      <c r="A217" s="20"/>
      <c r="B217" s="15"/>
      <c r="C217" s="6"/>
      <c r="D217" s="6"/>
      <c r="E217" s="6"/>
      <c r="F217" s="82"/>
      <c r="G217" s="47" t="s">
        <v>283</v>
      </c>
      <c r="H217" s="48" t="s">
        <v>27</v>
      </c>
      <c r="I217" s="49">
        <v>8120</v>
      </c>
      <c r="J217" s="50"/>
      <c r="L217" s="3"/>
    </row>
    <row r="218" spans="1:12">
      <c r="A218" s="20"/>
      <c r="B218" s="15"/>
      <c r="C218" s="6"/>
      <c r="D218" s="6"/>
      <c r="E218" s="6"/>
      <c r="F218" s="82"/>
      <c r="G218" s="47" t="s">
        <v>282</v>
      </c>
      <c r="H218" s="48" t="s">
        <v>27</v>
      </c>
      <c r="I218" s="49">
        <f>800*10</f>
        <v>8000</v>
      </c>
      <c r="J218" s="50"/>
      <c r="L218" s="3"/>
    </row>
    <row r="219" spans="1:12">
      <c r="A219" s="20"/>
      <c r="B219" s="15"/>
      <c r="C219" s="6"/>
      <c r="D219" s="6"/>
      <c r="E219" s="6"/>
      <c r="F219" s="82"/>
      <c r="G219" s="101" t="s">
        <v>341</v>
      </c>
      <c r="H219" s="110"/>
      <c r="I219" s="103">
        <f>SUM(I220:I221)</f>
        <v>373600</v>
      </c>
      <c r="J219" s="42"/>
      <c r="L219" s="3"/>
    </row>
    <row r="220" spans="1:12">
      <c r="A220" s="20"/>
      <c r="B220" s="15"/>
      <c r="C220" s="6"/>
      <c r="D220" s="6"/>
      <c r="E220" s="6"/>
      <c r="F220" s="82"/>
      <c r="G220" s="47" t="s">
        <v>292</v>
      </c>
      <c r="H220" s="48" t="s">
        <v>27</v>
      </c>
      <c r="I220" s="49">
        <v>163600</v>
      </c>
      <c r="J220" s="43"/>
      <c r="L220" s="3"/>
    </row>
    <row r="221" spans="1:12">
      <c r="A221" s="20"/>
      <c r="B221" s="15"/>
      <c r="C221" s="6"/>
      <c r="D221" s="6"/>
      <c r="E221" s="6"/>
      <c r="F221" s="82"/>
      <c r="G221" s="47" t="s">
        <v>293</v>
      </c>
      <c r="H221" s="48" t="s">
        <v>27</v>
      </c>
      <c r="I221" s="49">
        <f>14000*12+7000*6</f>
        <v>210000</v>
      </c>
      <c r="J221" s="43"/>
      <c r="L221" s="3"/>
    </row>
    <row r="222" spans="1:12" ht="16.5" customHeight="1">
      <c r="A222" s="21"/>
      <c r="B222" s="136" t="s">
        <v>50</v>
      </c>
      <c r="C222" s="5">
        <v>594816</v>
      </c>
      <c r="D222" s="5"/>
      <c r="E222" s="5">
        <f>SUM(I222,I226,I228)</f>
        <v>454789</v>
      </c>
      <c r="F222" s="81">
        <f>E222-C222</f>
        <v>-140027</v>
      </c>
      <c r="G222" s="101" t="s">
        <v>36</v>
      </c>
      <c r="H222" s="287"/>
      <c r="I222" s="103">
        <f>SUM(I223:I225)</f>
        <v>435053</v>
      </c>
      <c r="J222" s="42"/>
    </row>
    <row r="223" spans="1:12">
      <c r="A223" s="20"/>
      <c r="B223" s="15"/>
      <c r="C223" s="242"/>
      <c r="D223" s="242"/>
      <c r="E223" s="242"/>
      <c r="F223" s="242"/>
      <c r="G223" s="47" t="s">
        <v>294</v>
      </c>
      <c r="H223" s="48" t="s">
        <v>27</v>
      </c>
      <c r="I223" s="49">
        <f>325*1*5*162</f>
        <v>263250</v>
      </c>
      <c r="J223" s="43"/>
    </row>
    <row r="224" spans="1:12">
      <c r="A224" s="20"/>
      <c r="B224" s="15"/>
      <c r="C224" s="6"/>
      <c r="D224" s="6"/>
      <c r="E224" s="6"/>
      <c r="F224" s="82"/>
      <c r="G224" s="313" t="s">
        <v>295</v>
      </c>
      <c r="H224" s="331" t="s">
        <v>27</v>
      </c>
      <c r="I224" s="314">
        <f>425*162*2.5-322</f>
        <v>171803</v>
      </c>
      <c r="J224" s="43"/>
      <c r="L224" s="309"/>
    </row>
    <row r="225" spans="1:10">
      <c r="A225" s="20"/>
      <c r="B225" s="15"/>
      <c r="C225" s="6"/>
      <c r="D225" s="6"/>
      <c r="E225" s="6"/>
      <c r="F225" s="82"/>
      <c r="G225" s="47"/>
      <c r="H225" s="48" t="s">
        <v>27</v>
      </c>
      <c r="I225" s="49"/>
      <c r="J225" s="43"/>
    </row>
    <row r="226" spans="1:10">
      <c r="A226" s="20"/>
      <c r="B226" s="15"/>
      <c r="C226" s="6"/>
      <c r="D226" s="6"/>
      <c r="E226" s="6"/>
      <c r="F226" s="82"/>
      <c r="G226" s="101" t="s">
        <v>129</v>
      </c>
      <c r="H226" s="110"/>
      <c r="I226" s="103">
        <f>SUM(I227:I227)</f>
        <v>6200</v>
      </c>
      <c r="J226" s="42"/>
    </row>
    <row r="227" spans="1:10">
      <c r="A227" s="20"/>
      <c r="B227" s="15"/>
      <c r="C227" s="6"/>
      <c r="D227" s="6"/>
      <c r="E227" s="6"/>
      <c r="F227" s="82"/>
      <c r="G227" s="47" t="s">
        <v>253</v>
      </c>
      <c r="H227" s="48" t="s">
        <v>27</v>
      </c>
      <c r="I227" s="49">
        <v>6200</v>
      </c>
      <c r="J227" s="43"/>
    </row>
    <row r="228" spans="1:10">
      <c r="A228" s="20"/>
      <c r="B228" s="15"/>
      <c r="C228" s="6"/>
      <c r="D228" s="6"/>
      <c r="E228" s="6"/>
      <c r="F228" s="82"/>
      <c r="G228" s="101" t="s">
        <v>130</v>
      </c>
      <c r="H228" s="110"/>
      <c r="I228" s="103">
        <f>SUM(I229:I229)</f>
        <v>13536</v>
      </c>
      <c r="J228" s="42"/>
    </row>
    <row r="229" spans="1:10" ht="17.25" thickBot="1">
      <c r="A229" s="20"/>
      <c r="B229" s="15"/>
      <c r="C229" s="6"/>
      <c r="D229" s="6"/>
      <c r="E229" s="6"/>
      <c r="F229" s="82"/>
      <c r="G229" s="47" t="s">
        <v>254</v>
      </c>
      <c r="H229" s="48" t="s">
        <v>27</v>
      </c>
      <c r="I229" s="49">
        <v>13536</v>
      </c>
      <c r="J229" s="43"/>
    </row>
    <row r="230" spans="1:10" ht="16.5" customHeight="1">
      <c r="A230" s="414" t="s">
        <v>25</v>
      </c>
      <c r="B230" s="415"/>
      <c r="C230" s="237">
        <v>0</v>
      </c>
      <c r="D230" s="237">
        <v>0</v>
      </c>
      <c r="E230" s="311">
        <f>I230</f>
        <v>1569496</v>
      </c>
      <c r="F230" s="237">
        <v>0</v>
      </c>
      <c r="G230" s="199"/>
      <c r="H230" s="200" t="s">
        <v>27</v>
      </c>
      <c r="I230" s="352">
        <f>I232+I234+I236+I238</f>
        <v>1569496</v>
      </c>
      <c r="J230" s="202"/>
    </row>
    <row r="231" spans="1:10" ht="16.5" customHeight="1">
      <c r="A231" s="203"/>
      <c r="B231" s="211"/>
      <c r="C231" s="243"/>
      <c r="D231" s="243"/>
      <c r="E231" s="243"/>
      <c r="F231" s="243"/>
      <c r="G231" s="212"/>
      <c r="H231" s="213"/>
      <c r="I231" s="214"/>
      <c r="J231" s="215"/>
    </row>
    <row r="232" spans="1:10" ht="16.5" customHeight="1">
      <c r="A232" s="17"/>
      <c r="B232" s="222" t="s">
        <v>51</v>
      </c>
      <c r="C232" s="235">
        <v>0</v>
      </c>
      <c r="D232" s="235">
        <v>0</v>
      </c>
      <c r="E232" s="298"/>
      <c r="F232" s="235">
        <v>0</v>
      </c>
      <c r="G232" s="40" t="s">
        <v>37</v>
      </c>
      <c r="H232" s="216"/>
      <c r="I232" s="328"/>
      <c r="J232" s="42"/>
    </row>
    <row r="233" spans="1:10" ht="16.5" customHeight="1">
      <c r="A233" s="17"/>
      <c r="B233" s="218"/>
      <c r="C233" s="242"/>
      <c r="D233" s="242"/>
      <c r="E233" s="242"/>
      <c r="F233" s="242"/>
      <c r="G233" s="219"/>
      <c r="H233" s="220"/>
      <c r="I233" s="329"/>
      <c r="J233" s="44"/>
    </row>
    <row r="234" spans="1:10" ht="16.5" customHeight="1">
      <c r="A234" s="17"/>
      <c r="B234" s="223" t="s">
        <v>52</v>
      </c>
      <c r="C234" s="235">
        <v>0</v>
      </c>
      <c r="D234" s="235">
        <v>0</v>
      </c>
      <c r="E234" s="235">
        <v>0</v>
      </c>
      <c r="F234" s="235">
        <v>0</v>
      </c>
      <c r="G234" s="40" t="s">
        <v>38</v>
      </c>
      <c r="H234" s="216"/>
      <c r="I234" s="351">
        <f>I235</f>
        <v>1569496</v>
      </c>
      <c r="J234" s="42"/>
    </row>
    <row r="235" spans="1:10" ht="16.5" customHeight="1">
      <c r="A235" s="17"/>
      <c r="B235" s="224"/>
      <c r="C235" s="242"/>
      <c r="D235" s="242"/>
      <c r="E235" s="242"/>
      <c r="F235" s="242"/>
      <c r="G235" s="219"/>
      <c r="H235" s="220" t="s">
        <v>350</v>
      </c>
      <c r="I235" s="329">
        <v>1569496</v>
      </c>
      <c r="J235" s="44"/>
    </row>
    <row r="236" spans="1:10" ht="16.5" customHeight="1">
      <c r="A236" s="17"/>
      <c r="B236" s="222" t="s">
        <v>53</v>
      </c>
      <c r="C236" s="235">
        <v>0</v>
      </c>
      <c r="D236" s="235">
        <v>0</v>
      </c>
      <c r="E236" s="235">
        <v>0</v>
      </c>
      <c r="F236" s="235">
        <v>0</v>
      </c>
      <c r="G236" s="40" t="s">
        <v>39</v>
      </c>
      <c r="H236" s="216"/>
      <c r="I236" s="217">
        <v>0</v>
      </c>
      <c r="J236" s="42"/>
    </row>
    <row r="237" spans="1:10" ht="16.5" customHeight="1">
      <c r="A237" s="17"/>
      <c r="B237" s="218"/>
      <c r="C237" s="242"/>
      <c r="D237" s="242"/>
      <c r="E237" s="242"/>
      <c r="F237" s="242"/>
      <c r="G237" s="219"/>
      <c r="H237" s="220"/>
      <c r="I237" s="221"/>
      <c r="J237" s="44"/>
    </row>
    <row r="238" spans="1:10" ht="16.5" customHeight="1">
      <c r="A238" s="17"/>
      <c r="B238" s="222" t="s">
        <v>54</v>
      </c>
      <c r="C238" s="235">
        <v>0</v>
      </c>
      <c r="D238" s="235">
        <v>0</v>
      </c>
      <c r="E238" s="235">
        <v>0</v>
      </c>
      <c r="F238" s="235">
        <v>0</v>
      </c>
      <c r="G238" s="40" t="s">
        <v>40</v>
      </c>
      <c r="H238" s="216"/>
      <c r="I238" s="217">
        <v>0</v>
      </c>
      <c r="J238" s="42"/>
    </row>
    <row r="239" spans="1:10" ht="16.5" customHeight="1" thickBot="1">
      <c r="A239" s="233"/>
      <c r="B239" s="245"/>
      <c r="C239" s="246"/>
      <c r="D239" s="246"/>
      <c r="E239" s="246"/>
      <c r="F239" s="246"/>
      <c r="G239" s="247"/>
      <c r="H239" s="248"/>
      <c r="I239" s="249"/>
      <c r="J239" s="94"/>
    </row>
    <row r="240" spans="1:10" ht="16.5" customHeight="1">
      <c r="A240" s="398" t="s">
        <v>26</v>
      </c>
      <c r="B240" s="413"/>
      <c r="C240" s="251">
        <f>SUM(C230,C190,C184,C180,C44,C5)</f>
        <v>18492445</v>
      </c>
      <c r="D240" s="251">
        <v>0</v>
      </c>
      <c r="E240" s="251">
        <f>SUM(E230,E190,E184,E180,E44,E5)</f>
        <v>19595268</v>
      </c>
      <c r="F240" s="251">
        <f>E240-C240</f>
        <v>1102823</v>
      </c>
      <c r="G240" s="229"/>
      <c r="H240" s="230"/>
      <c r="I240" s="227"/>
      <c r="J240" s="225"/>
    </row>
    <row r="241" spans="1:10" ht="17.25" thickBot="1">
      <c r="A241" s="233"/>
      <c r="B241" s="234"/>
      <c r="C241" s="253"/>
      <c r="D241" s="252"/>
      <c r="E241" s="253"/>
      <c r="F241" s="253"/>
      <c r="G241" s="231"/>
      <c r="H241" s="232"/>
      <c r="I241" s="228"/>
      <c r="J241" s="226"/>
    </row>
    <row r="242" spans="1:10">
      <c r="F242" s="8"/>
    </row>
  </sheetData>
  <mergeCells count="17">
    <mergeCell ref="B22:B23"/>
    <mergeCell ref="B39:B41"/>
    <mergeCell ref="A240:B240"/>
    <mergeCell ref="A230:B230"/>
    <mergeCell ref="B215:B216"/>
    <mergeCell ref="A180:B180"/>
    <mergeCell ref="A184:B184"/>
    <mergeCell ref="A190:B190"/>
    <mergeCell ref="A44:B44"/>
    <mergeCell ref="B87:B88"/>
    <mergeCell ref="B177:B179"/>
    <mergeCell ref="A5:B5"/>
    <mergeCell ref="A3:B4"/>
    <mergeCell ref="J3:J4"/>
    <mergeCell ref="A1:J1"/>
    <mergeCell ref="A2:J2"/>
    <mergeCell ref="G3:I4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표지</vt:lpstr>
      <vt:lpstr>총칙</vt:lpstr>
      <vt:lpstr>세입</vt:lpstr>
      <vt:lpstr>세출</vt:lpstr>
      <vt:lpstr>세입!Print_Area</vt:lpstr>
      <vt:lpstr>세출!Print_Area</vt:lpstr>
      <vt:lpstr>세입!Print_Titles</vt:lpstr>
      <vt:lpstr>세출!Print_Titles</vt:lpstr>
    </vt:vector>
  </TitlesOfParts>
  <Company>TaipeiKoreanSchool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student_02</dc:creator>
  <cp:lastModifiedBy>Owner</cp:lastModifiedBy>
  <cp:lastPrinted>2019-04-09T02:26:34Z</cp:lastPrinted>
  <dcterms:created xsi:type="dcterms:W3CDTF">2016-01-18T07:48:47Z</dcterms:created>
  <dcterms:modified xsi:type="dcterms:W3CDTF">2019-12-03T05:45:18Z</dcterms:modified>
</cp:coreProperties>
</file>