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 본예산 자료\2019학년도 본예산\"/>
    </mc:Choice>
  </mc:AlternateContent>
  <bookViews>
    <workbookView xWindow="600" yWindow="45" windowWidth="17520" windowHeight="7935"/>
  </bookViews>
  <sheets>
    <sheet name="표지" sheetId="4" r:id="rId1"/>
    <sheet name="총칙" sheetId="5" r:id="rId2"/>
    <sheet name="세입" sheetId="1" r:id="rId3"/>
    <sheet name="세출" sheetId="2" r:id="rId4"/>
  </sheets>
  <definedNames>
    <definedName name="_xlnm.Print_Area" localSheetId="2">세입!$A$1:$J$86</definedName>
    <definedName name="_xlnm.Print_Area" localSheetId="3">세출!$A$1:$J$239</definedName>
    <definedName name="_xlnm.Print_Titles" localSheetId="2">세입!$4:$6</definedName>
    <definedName name="_xlnm.Print_Titles" localSheetId="3">세출!$2:$4</definedName>
  </definedNames>
  <calcPr calcId="152511"/>
</workbook>
</file>

<file path=xl/calcChain.xml><?xml version="1.0" encoding="utf-8"?>
<calcChain xmlns="http://schemas.openxmlformats.org/spreadsheetml/2006/main">
  <c r="E238" i="2" l="1"/>
  <c r="E200" i="2"/>
  <c r="I146" i="2"/>
  <c r="I50" i="1"/>
  <c r="I39" i="2" l="1"/>
  <c r="I11" i="1"/>
  <c r="I10" i="1"/>
  <c r="I38" i="1" l="1"/>
  <c r="I40" i="1"/>
  <c r="I38" i="2"/>
  <c r="I40" i="2"/>
  <c r="I210" i="2"/>
  <c r="I20" i="1"/>
  <c r="I19" i="1"/>
  <c r="I76" i="1"/>
  <c r="I26" i="1"/>
  <c r="I196" i="2"/>
  <c r="I194" i="2"/>
  <c r="I192" i="2"/>
  <c r="I207" i="2"/>
  <c r="I22" i="1"/>
  <c r="I21" i="1"/>
  <c r="I69" i="2"/>
  <c r="I101" i="2"/>
  <c r="I100" i="2"/>
  <c r="I56" i="1"/>
  <c r="I34" i="1"/>
  <c r="I226" i="2"/>
  <c r="I33" i="1"/>
  <c r="I163" i="2"/>
  <c r="I162" i="2"/>
  <c r="I221" i="2"/>
  <c r="I220" i="2"/>
  <c r="I219" i="2"/>
  <c r="I32" i="1"/>
  <c r="I14" i="1"/>
  <c r="I13" i="1"/>
  <c r="I227" i="2"/>
  <c r="I224" i="2"/>
  <c r="I223" i="2"/>
  <c r="I215" i="2" l="1"/>
  <c r="I208" i="2"/>
  <c r="I176" i="2"/>
  <c r="I166" i="2"/>
  <c r="I164" i="2"/>
  <c r="I160" i="2"/>
  <c r="I161" i="2"/>
  <c r="I159" i="2"/>
  <c r="I155" i="2"/>
  <c r="I144" i="2"/>
  <c r="I142" i="2"/>
  <c r="I141" i="2"/>
  <c r="I128" i="2"/>
  <c r="I127" i="2"/>
  <c r="I118" i="2"/>
  <c r="I116" i="2"/>
  <c r="I42" i="2"/>
  <c r="I37" i="2"/>
  <c r="I36" i="2"/>
  <c r="I26" i="2" l="1"/>
  <c r="I25" i="2"/>
  <c r="I82" i="2"/>
  <c r="I80" i="2"/>
  <c r="I79" i="2"/>
  <c r="I78" i="2"/>
  <c r="I52" i="2"/>
  <c r="I51" i="2"/>
  <c r="I50" i="2"/>
  <c r="I49" i="2"/>
  <c r="I9" i="2"/>
  <c r="C182" i="2" l="1"/>
  <c r="I209" i="2"/>
  <c r="I206" i="2"/>
  <c r="I204" i="2"/>
  <c r="I191" i="2"/>
  <c r="I184" i="2"/>
  <c r="I167" i="2"/>
  <c r="I145" i="2"/>
  <c r="I87" i="2"/>
  <c r="I58" i="2" l="1"/>
  <c r="I57" i="2"/>
  <c r="I56" i="2"/>
  <c r="I55" i="2" l="1"/>
  <c r="I54" i="2"/>
  <c r="I47" i="2"/>
  <c r="I24" i="2"/>
  <c r="I21" i="2"/>
  <c r="C7" i="1" l="1"/>
  <c r="C53" i="1"/>
  <c r="C64" i="1"/>
  <c r="I58" i="1"/>
  <c r="C72" i="1"/>
  <c r="C35" i="1"/>
  <c r="I62" i="1"/>
  <c r="I52" i="1"/>
  <c r="I46" i="1"/>
  <c r="I45" i="1"/>
  <c r="I44" i="1" s="1"/>
  <c r="C84" i="1" l="1"/>
  <c r="I12" i="1"/>
  <c r="E12" i="1" s="1"/>
  <c r="I60" i="1" l="1"/>
  <c r="I39" i="1" l="1"/>
  <c r="E39" i="1" s="1"/>
  <c r="I65" i="2" l="1"/>
  <c r="I66" i="2"/>
  <c r="I30" i="2"/>
  <c r="I172" i="2"/>
  <c r="I34" i="2" l="1"/>
  <c r="I66" i="1"/>
  <c r="I29" i="2" l="1"/>
  <c r="I27" i="1" l="1"/>
  <c r="I153" i="2" l="1"/>
  <c r="I77" i="2"/>
  <c r="I73" i="2" l="1"/>
  <c r="I61" i="2" l="1"/>
  <c r="I158" i="2"/>
  <c r="I171" i="2" l="1"/>
  <c r="I109" i="2" l="1"/>
  <c r="I23" i="2" l="1"/>
  <c r="E66" i="1" l="1"/>
  <c r="F66" i="1" s="1"/>
  <c r="I148" i="2" l="1"/>
  <c r="I42" i="1" l="1"/>
  <c r="I41" i="1" s="1"/>
  <c r="I85" i="2"/>
  <c r="I84" i="2" s="1"/>
  <c r="I136" i="2"/>
  <c r="I91" i="2"/>
  <c r="I93" i="2"/>
  <c r="I76" i="2" l="1"/>
  <c r="I32" i="2" l="1"/>
  <c r="I20" i="2"/>
  <c r="I165" i="2"/>
  <c r="I225" i="2" l="1"/>
  <c r="E211" i="2"/>
  <c r="I143" i="2"/>
  <c r="I139" i="2"/>
  <c r="I195" i="2"/>
  <c r="I193" i="2"/>
  <c r="I190" i="2" l="1"/>
  <c r="I18" i="1" l="1"/>
  <c r="I68" i="2"/>
  <c r="I134" i="2" l="1"/>
  <c r="I133" i="2" s="1"/>
  <c r="I120" i="2"/>
  <c r="I113" i="2"/>
  <c r="I110" i="2"/>
  <c r="I111" i="2"/>
  <c r="I112" i="2"/>
  <c r="I108" i="2"/>
  <c r="I102" i="2"/>
  <c r="I107" i="2"/>
  <c r="I105" i="2"/>
  <c r="I104" i="2"/>
  <c r="I103" i="2"/>
  <c r="I106" i="2" l="1"/>
  <c r="I72" i="2"/>
  <c r="I59" i="1" l="1"/>
  <c r="E59" i="1" s="1"/>
  <c r="I17" i="2"/>
  <c r="I175" i="2" l="1"/>
  <c r="E175" i="2" s="1"/>
  <c r="E173" i="2" s="1"/>
  <c r="I181" i="2"/>
  <c r="I179" i="2" l="1"/>
  <c r="E179" i="2" s="1"/>
  <c r="F179" i="2" s="1"/>
  <c r="I13" i="2"/>
  <c r="I218" i="2" l="1"/>
  <c r="I23" i="1"/>
  <c r="I187" i="2" l="1"/>
  <c r="E184" i="2" s="1"/>
  <c r="I140" i="2" l="1"/>
  <c r="I222" i="2" l="1"/>
  <c r="I15" i="2"/>
  <c r="I71" i="2" l="1"/>
  <c r="I89" i="2"/>
  <c r="I88" i="2"/>
  <c r="I75" i="2"/>
  <c r="I86" i="2" l="1"/>
  <c r="I64" i="2"/>
  <c r="I48" i="2"/>
  <c r="I63" i="2"/>
  <c r="I60" i="2"/>
  <c r="I152" i="2"/>
  <c r="I9" i="1" l="1"/>
  <c r="E9" i="1" s="1"/>
  <c r="F9" i="1" s="1"/>
  <c r="I8" i="2"/>
  <c r="I94" i="2"/>
  <c r="I92" i="2" s="1"/>
  <c r="I98" i="2"/>
  <c r="I99" i="2"/>
  <c r="I12" i="2"/>
  <c r="I123" i="2"/>
  <c r="I7" i="2" l="1"/>
  <c r="I97" i="2"/>
  <c r="I35" i="2"/>
  <c r="I122" i="2"/>
  <c r="I117" i="2" s="1"/>
  <c r="I130" i="2"/>
  <c r="I14" i="2" l="1"/>
  <c r="I19" i="2"/>
  <c r="I18" i="2" s="1"/>
  <c r="I46" i="2" l="1"/>
  <c r="I45" i="2" s="1"/>
  <c r="I31" i="2" l="1"/>
  <c r="E38" i="2"/>
  <c r="I41" i="2"/>
  <c r="I126" i="2" l="1"/>
  <c r="C5" i="2"/>
  <c r="F173" i="2"/>
  <c r="C177" i="2"/>
  <c r="E177" i="2"/>
  <c r="C43" i="2"/>
  <c r="F177" i="2" l="1"/>
  <c r="C238" i="2"/>
  <c r="F238" i="2" s="1"/>
  <c r="I16" i="2" l="1"/>
  <c r="I11" i="2"/>
  <c r="I10" i="2" l="1"/>
  <c r="E7" i="2" s="1"/>
  <c r="I115" i="2"/>
  <c r="I74" i="2"/>
  <c r="I70" i="2"/>
  <c r="I170" i="2"/>
  <c r="I149" i="2" l="1"/>
  <c r="I33" i="2" l="1"/>
  <c r="I28" i="2"/>
  <c r="I27" i="2" s="1"/>
  <c r="I31" i="1"/>
  <c r="E18" i="1" s="1"/>
  <c r="F18" i="1" s="1"/>
  <c r="I202" i="2" l="1"/>
  <c r="I150" i="2"/>
  <c r="I147" i="2" s="1"/>
  <c r="I154" i="2"/>
  <c r="I151" i="2" s="1"/>
  <c r="E218" i="2"/>
  <c r="I156" i="2" l="1"/>
  <c r="E147" i="2" s="1"/>
  <c r="I200" i="2" l="1"/>
  <c r="E182" i="2" l="1"/>
  <c r="F198" i="2"/>
  <c r="F184" i="2"/>
  <c r="F200" i="2" l="1"/>
  <c r="F175" i="2"/>
  <c r="E170" i="2"/>
  <c r="F170" i="2" s="1"/>
  <c r="F211" i="2" l="1"/>
  <c r="F147" i="2"/>
  <c r="I95" i="2"/>
  <c r="E86" i="2" s="1"/>
  <c r="I67" i="2"/>
  <c r="I81" i="2"/>
  <c r="I37" i="1"/>
  <c r="E37" i="1" s="1"/>
  <c r="F37" i="1" s="1"/>
  <c r="E45" i="2" l="1"/>
  <c r="F45" i="2" s="1"/>
  <c r="I22" i="2"/>
  <c r="E22" i="2" s="1"/>
  <c r="E5" i="2" s="1"/>
  <c r="F5" i="2" s="1"/>
  <c r="F182" i="2"/>
  <c r="F218" i="2"/>
  <c r="E82" i="1"/>
  <c r="F82" i="1" s="1"/>
  <c r="E80" i="1"/>
  <c r="E76" i="1"/>
  <c r="F76" i="1" s="1"/>
  <c r="E74" i="1"/>
  <c r="E70" i="1"/>
  <c r="F70" i="1" s="1"/>
  <c r="E68" i="1"/>
  <c r="F68" i="1" s="1"/>
  <c r="F59" i="1"/>
  <c r="E50" i="1"/>
  <c r="E48" i="1"/>
  <c r="F48" i="1" s="1"/>
  <c r="E46" i="1"/>
  <c r="E44" i="1"/>
  <c r="F44" i="1" s="1"/>
  <c r="E41" i="1"/>
  <c r="F41" i="1" s="1"/>
  <c r="E16" i="1"/>
  <c r="F16" i="1" s="1"/>
  <c r="I57" i="1"/>
  <c r="F46" i="1" l="1"/>
  <c r="E35" i="1"/>
  <c r="F86" i="2"/>
  <c r="E43" i="2"/>
  <c r="F39" i="1"/>
  <c r="F22" i="2"/>
  <c r="F50" i="1"/>
  <c r="F38" i="2"/>
  <c r="I55" i="1"/>
  <c r="E55" i="1" l="1"/>
  <c r="E53" i="1" s="1"/>
  <c r="F35" i="1"/>
  <c r="F43" i="2"/>
  <c r="F55" i="1" l="1"/>
  <c r="F53" i="1" s="1"/>
  <c r="E7" i="1" l="1"/>
  <c r="F7" i="2"/>
  <c r="F12" i="1" l="1"/>
  <c r="E64" i="1" l="1"/>
  <c r="F74" i="1"/>
  <c r="E72" i="1"/>
  <c r="E84" i="1" s="1"/>
  <c r="F84" i="1" s="1"/>
  <c r="F80" i="1"/>
  <c r="F72" i="1" l="1"/>
  <c r="F7" i="1"/>
</calcChain>
</file>

<file path=xl/sharedStrings.xml><?xml version="1.0" encoding="utf-8"?>
<sst xmlns="http://schemas.openxmlformats.org/spreadsheetml/2006/main" count="545" uniqueCount="344">
  <si>
    <t>□ 세입</t>
  </si>
  <si>
    <t>구  분</t>
  </si>
  <si>
    <t>(Y-1)예산</t>
  </si>
  <si>
    <t>(A)</t>
  </si>
  <si>
    <t>(Y-2)결산</t>
  </si>
  <si>
    <t>(B)</t>
  </si>
  <si>
    <t>(Y)예산</t>
  </si>
  <si>
    <t>(C)</t>
  </si>
  <si>
    <t>증감</t>
  </si>
  <si>
    <t>(C-A)</t>
  </si>
  <si>
    <t>비고</t>
  </si>
  <si>
    <t>학부모부담수입</t>
  </si>
  <si>
    <t>수익자부담경비</t>
  </si>
  <si>
    <t>교육부지원금</t>
  </si>
  <si>
    <t>시설(대수선)비</t>
  </si>
  <si>
    <t>자체수입</t>
  </si>
  <si>
    <t>전입금 및 지원금</t>
  </si>
  <si>
    <t>기타수입</t>
  </si>
  <si>
    <t>합  계</t>
  </si>
  <si>
    <t xml:space="preserve">  </t>
  </si>
  <si>
    <t>□ 세출</t>
  </si>
  <si>
    <t>인건비</t>
  </si>
  <si>
    <t>학교운영비</t>
  </si>
  <si>
    <t>  - 학생복리비</t>
  </si>
  <si>
    <t>자산취득비</t>
  </si>
  <si>
    <t>예비비및기타</t>
  </si>
  <si>
    <t>합 계</t>
  </si>
  <si>
    <t>=</t>
    <phoneticPr fontId="6" type="noConversion"/>
  </si>
  <si>
    <t>비고</t>
    <phoneticPr fontId="6" type="noConversion"/>
  </si>
  <si>
    <t>산출기초(단위: NTD)</t>
    <phoneticPr fontId="6" type="noConversion"/>
  </si>
  <si>
    <t>1. 교과활동지원</t>
    <phoneticPr fontId="6" type="noConversion"/>
  </si>
  <si>
    <t xml:space="preserve">   ·</t>
    <phoneticPr fontId="6" type="noConversion"/>
  </si>
  <si>
    <t>1. 학생보건안전관리</t>
    <phoneticPr fontId="6" type="noConversion"/>
  </si>
  <si>
    <t>2. 학교환경위생관리</t>
    <phoneticPr fontId="6" type="noConversion"/>
  </si>
  <si>
    <t>=</t>
    <phoneticPr fontId="6" type="noConversion"/>
  </si>
  <si>
    <t>1. 수련활동비</t>
    <phoneticPr fontId="6" type="noConversion"/>
  </si>
  <si>
    <t>1. 통학차량 운영</t>
    <phoneticPr fontId="6" type="noConversion"/>
  </si>
  <si>
    <t>1. 예비비</t>
    <phoneticPr fontId="6" type="noConversion"/>
  </si>
  <si>
    <t>1. 다음연도 이월금</t>
    <phoneticPr fontId="6" type="noConversion"/>
  </si>
  <si>
    <t>1. 적립금</t>
    <phoneticPr fontId="6" type="noConversion"/>
  </si>
  <si>
    <t>1. 환차손</t>
    <phoneticPr fontId="6" type="noConversion"/>
  </si>
  <si>
    <t>1. 기본급</t>
    <phoneticPr fontId="6" type="noConversion"/>
  </si>
  <si>
    <t>- 퇴직적립금</t>
    <phoneticPr fontId="6" type="noConversion"/>
  </si>
  <si>
    <t>- 일반운영비</t>
    <phoneticPr fontId="6" type="noConversion"/>
  </si>
  <si>
    <t>- 교수학습
활동비</t>
    <phoneticPr fontId="6" type="noConversion"/>
  </si>
  <si>
    <t>- 자산취득비</t>
    <phoneticPr fontId="6" type="noConversion"/>
  </si>
  <si>
    <t>- 시설비</t>
    <phoneticPr fontId="6" type="noConversion"/>
  </si>
  <si>
    <t>- 현장학습비</t>
    <phoneticPr fontId="6" type="noConversion"/>
  </si>
  <si>
    <t>- 학교급식비</t>
    <phoneticPr fontId="6" type="noConversion"/>
  </si>
  <si>
    <t>- 방과후학교교육활동비</t>
    <phoneticPr fontId="6" type="noConversion"/>
  </si>
  <si>
    <t>- 기타수익자부담경비</t>
    <phoneticPr fontId="6" type="noConversion"/>
  </si>
  <si>
    <t>- 예비비</t>
    <phoneticPr fontId="6" type="noConversion"/>
  </si>
  <si>
    <t>- 다음연도이월금</t>
    <phoneticPr fontId="6" type="noConversion"/>
  </si>
  <si>
    <t>- 적립금</t>
    <phoneticPr fontId="6" type="noConversion"/>
  </si>
  <si>
    <t>- 환차손</t>
    <phoneticPr fontId="6" type="noConversion"/>
  </si>
  <si>
    <t>2. 수당</t>
    <phoneticPr fontId="6" type="noConversion"/>
  </si>
  <si>
    <t>3. 복리후생비</t>
    <phoneticPr fontId="6" type="noConversion"/>
  </si>
  <si>
    <t>1. 입학금</t>
    <phoneticPr fontId="6" type="noConversion"/>
  </si>
  <si>
    <t>- 입학금</t>
    <phoneticPr fontId="6" type="noConversion"/>
  </si>
  <si>
    <t>- 수업료</t>
    <phoneticPr fontId="6" type="noConversion"/>
  </si>
  <si>
    <t>- 학교운영지원비</t>
    <phoneticPr fontId="6" type="noConversion"/>
  </si>
  <si>
    <t>- 수익자부담경비</t>
    <phoneticPr fontId="6" type="noConversion"/>
  </si>
  <si>
    <t>2. 지난년도 수업료</t>
    <phoneticPr fontId="6" type="noConversion"/>
  </si>
  <si>
    <t>1. 수업료</t>
    <phoneticPr fontId="6" type="noConversion"/>
  </si>
  <si>
    <t>- 현재채용교직원인건비</t>
    <phoneticPr fontId="6" type="noConversion"/>
  </si>
  <si>
    <t>- 운영비</t>
    <phoneticPr fontId="6" type="noConversion"/>
  </si>
  <si>
    <t>- 임차료</t>
    <phoneticPr fontId="6" type="noConversion"/>
  </si>
  <si>
    <t>- 저소득층자녀지원</t>
    <phoneticPr fontId="6" type="noConversion"/>
  </si>
  <si>
    <t>- 방과후학교지원</t>
    <phoneticPr fontId="6" type="noConversion"/>
  </si>
  <si>
    <t>- 시설(대수선)비</t>
    <phoneticPr fontId="6" type="noConversion"/>
  </si>
  <si>
    <t>- 학교발전기금전입금</t>
    <phoneticPr fontId="6" type="noConversion"/>
  </si>
  <si>
    <t>- 법인전입금</t>
    <phoneticPr fontId="6" type="noConversion"/>
  </si>
  <si>
    <t>- 기타지원금</t>
    <phoneticPr fontId="6" type="noConversion"/>
  </si>
  <si>
    <t>- 과년도 수입</t>
    <phoneticPr fontId="6" type="noConversion"/>
  </si>
  <si>
    <t>- 이월금</t>
    <phoneticPr fontId="6" type="noConversion"/>
  </si>
  <si>
    <t>- 환차익</t>
    <phoneticPr fontId="6" type="noConversion"/>
  </si>
  <si>
    <t>- 사용료및수수료</t>
    <phoneticPr fontId="6" type="noConversion"/>
  </si>
  <si>
    <t>- 잡수입</t>
    <phoneticPr fontId="6" type="noConversion"/>
  </si>
  <si>
    <t>4. 부담금</t>
    <phoneticPr fontId="6" type="noConversion"/>
  </si>
  <si>
    <t>- 업무추진비</t>
    <phoneticPr fontId="6" type="noConversion"/>
  </si>
  <si>
    <t>- 직원 및 계약교직원</t>
    <phoneticPr fontId="6" type="noConversion"/>
  </si>
  <si>
    <t>- 교원</t>
    <phoneticPr fontId="6" type="noConversion"/>
  </si>
  <si>
    <t> - 학생수련활동비</t>
    <phoneticPr fontId="6" type="noConversion"/>
  </si>
  <si>
    <t>2. 현장체험학습비</t>
    <phoneticPr fontId="6" type="noConversion"/>
  </si>
  <si>
    <t>1. 급식비</t>
    <phoneticPr fontId="6" type="noConversion"/>
  </si>
  <si>
    <t>3. 방과후교육활동비</t>
    <phoneticPr fontId="6" type="noConversion"/>
  </si>
  <si>
    <t>1. 이자수입</t>
    <phoneticPr fontId="6" type="noConversion"/>
  </si>
  <si>
    <t>2. 수수료</t>
    <phoneticPr fontId="6" type="noConversion"/>
  </si>
  <si>
    <t>3. 기타잡수입</t>
    <phoneticPr fontId="6" type="noConversion"/>
  </si>
  <si>
    <t>1. 순세계잉여금</t>
    <phoneticPr fontId="6" type="noConversion"/>
  </si>
  <si>
    <t>1. 학교운영지원비</t>
    <phoneticPr fontId="6" type="noConversion"/>
  </si>
  <si>
    <t>2. 한글학교 운영</t>
    <phoneticPr fontId="6" type="noConversion"/>
  </si>
  <si>
    <t>4. 기타수익자부담경비</t>
    <phoneticPr fontId="6" type="noConversion"/>
  </si>
  <si>
    <t>1. 임차료</t>
    <phoneticPr fontId="6" type="noConversion"/>
  </si>
  <si>
    <t>1. 운영비</t>
    <phoneticPr fontId="6" type="noConversion"/>
  </si>
  <si>
    <t>1. 방과후학교 운영</t>
    <phoneticPr fontId="6" type="noConversion"/>
  </si>
  <si>
    <t>1. 퇴직(적립)금</t>
    <phoneticPr fontId="6" type="noConversion"/>
  </si>
  <si>
    <t>2.재외교육기여장려금</t>
    <phoneticPr fontId="6" type="noConversion"/>
  </si>
  <si>
    <t>1. 시설비</t>
    <phoneticPr fontId="6" type="noConversion"/>
  </si>
  <si>
    <t>1. 교육환경개선</t>
    <phoneticPr fontId="6" type="noConversion"/>
  </si>
  <si>
    <t>9. 교무업무운영</t>
    <phoneticPr fontId="6" type="noConversion"/>
  </si>
  <si>
    <t>11. 입학식 및 졸업식(유치원)</t>
    <phoneticPr fontId="6" type="noConversion"/>
  </si>
  <si>
    <t>1. 학교발전기금전입금</t>
    <phoneticPr fontId="6" type="noConversion"/>
  </si>
  <si>
    <t>1. 법인전입금</t>
    <phoneticPr fontId="6" type="noConversion"/>
  </si>
  <si>
    <t>1. 기타지원금</t>
    <phoneticPr fontId="6" type="noConversion"/>
  </si>
  <si>
    <t>4. 통학차량 운영지원</t>
    <phoneticPr fontId="6" type="noConversion"/>
  </si>
  <si>
    <t>1. 적립금</t>
    <phoneticPr fontId="6" type="noConversion"/>
  </si>
  <si>
    <t>1. 환차익</t>
    <phoneticPr fontId="6" type="noConversion"/>
  </si>
  <si>
    <t>1. 저소득층자녀지원</t>
    <phoneticPr fontId="6" type="noConversion"/>
  </si>
  <si>
    <t>1. 방과후학교지원</t>
    <phoneticPr fontId="6" type="noConversion"/>
  </si>
  <si>
    <t>1. 시설(대수선)비</t>
    <phoneticPr fontId="6" type="noConversion"/>
  </si>
  <si>
    <t>1. 기타교육부지원</t>
    <phoneticPr fontId="6" type="noConversion"/>
  </si>
  <si>
    <t>1. 기관업무추진비</t>
    <phoneticPr fontId="6" type="noConversion"/>
  </si>
  <si>
    <t>2. 학교시설장비유지</t>
    <phoneticPr fontId="6" type="noConversion"/>
  </si>
  <si>
    <t>=</t>
    <phoneticPr fontId="6" type="noConversion"/>
  </si>
  <si>
    <t>1. 교육지원부 운영</t>
    <phoneticPr fontId="6" type="noConversion"/>
  </si>
  <si>
    <t>3. 학교급식비 지원</t>
    <phoneticPr fontId="6" type="noConversion"/>
  </si>
  <si>
    <t>1. 급식 재료구입비</t>
    <phoneticPr fontId="6" type="noConversion"/>
  </si>
  <si>
    <t>3. 교직원 복지 및 역량강화</t>
    <phoneticPr fontId="6" type="noConversion"/>
  </si>
  <si>
    <t>4. 업무용 차량운영</t>
    <phoneticPr fontId="6" type="noConversion"/>
  </si>
  <si>
    <t>5. 임차료</t>
    <phoneticPr fontId="6" type="noConversion"/>
  </si>
  <si>
    <t>1. 현재채용교직원인건비</t>
    <phoneticPr fontId="6" type="noConversion"/>
  </si>
  <si>
    <t>- 기타교육부지원금</t>
    <phoneticPr fontId="6" type="noConversion"/>
  </si>
  <si>
    <t>ㅇ여비(국내) 200원×12명×2회×12월</t>
    <phoneticPr fontId="6" type="noConversion"/>
  </si>
  <si>
    <t>=</t>
    <phoneticPr fontId="6" type="noConversion"/>
  </si>
  <si>
    <t>2. 예체능교과활동(초등학교)</t>
    <phoneticPr fontId="6" type="noConversion"/>
  </si>
  <si>
    <t>3. 예체능교과활동(유치원)</t>
    <phoneticPr fontId="6" type="noConversion"/>
  </si>
  <si>
    <t>4. 영어교과활동</t>
    <phoneticPr fontId="6" type="noConversion"/>
  </si>
  <si>
    <t>5. 중국어교과활동</t>
    <phoneticPr fontId="6" type="noConversion"/>
  </si>
  <si>
    <t>6.유치원 교과활동</t>
    <phoneticPr fontId="6" type="noConversion"/>
  </si>
  <si>
    <t>7. 자율활동(초등학교)</t>
    <phoneticPr fontId="6" type="noConversion"/>
  </si>
  <si>
    <t>8. 자율활동(유치원)</t>
    <phoneticPr fontId="6" type="noConversion"/>
  </si>
  <si>
    <t>2. 졸업앨범 제작(초등학교)</t>
    <phoneticPr fontId="6" type="noConversion"/>
  </si>
  <si>
    <t>3. 졸업앨범 제작(유치원)</t>
    <phoneticPr fontId="6" type="noConversion"/>
  </si>
  <si>
    <t>1. 현장체험학습(초등학교)</t>
    <phoneticPr fontId="6" type="noConversion"/>
  </si>
  <si>
    <t>2. 현장체험학습(유치원)</t>
    <phoneticPr fontId="6" type="noConversion"/>
  </si>
  <si>
    <t>10 입학식 및 졸업식(초등학교)</t>
    <phoneticPr fontId="6" type="noConversion"/>
  </si>
  <si>
    <t>산출기초(단위: NTDD)</t>
  </si>
  <si>
    <t>ㅇ주택수당(실장) 18,000NTD×1명×12월</t>
  </si>
  <si>
    <t>ㅇ기계경비용역료 8,000NTD×12월</t>
  </si>
  <si>
    <t>ㅇ중국어능력평가 우편요금 50NTD×4회</t>
  </si>
  <si>
    <t>ㅇ학급운영비 200NTD×40명×2회</t>
  </si>
  <si>
    <t>ㅇ환경정리 500NTD×6학급</t>
  </si>
  <si>
    <t>ㅇ환경정리 500NTD×1학급</t>
  </si>
  <si>
    <t>ㅇ강사수당 2,400NTD×10명×16강좌</t>
  </si>
  <si>
    <t>ㅇ전기요금 4,800NTD×8월</t>
  </si>
  <si>
    <t>ㅇ교재 및 재료비 4,000NTD×8강좌</t>
  </si>
  <si>
    <t>ㅇ학교교육계획서 제작 400NTD×10부</t>
    <phoneticPr fontId="6" type="noConversion"/>
  </si>
  <si>
    <t>ㅇ졸업사진 촬영(교원) 400NTD×2명</t>
    <phoneticPr fontId="6" type="noConversion"/>
  </si>
  <si>
    <t>ㅇ졸업식 장식 3,000NTD×1회</t>
    <phoneticPr fontId="6" type="noConversion"/>
  </si>
  <si>
    <t>ㅇ졸업식 안내장 발송 우편요금 200NTD×1회</t>
    <phoneticPr fontId="6" type="noConversion"/>
  </si>
  <si>
    <t>ㅇ체육대회 장소임대 1,000NTD×1회</t>
    <phoneticPr fontId="6" type="noConversion"/>
  </si>
  <si>
    <t>3. 수학여행</t>
    <phoneticPr fontId="6" type="noConversion"/>
  </si>
  <si>
    <t>ㅇ수학여행인솔교사 예비비 100NTD×2명</t>
    <phoneticPr fontId="6" type="noConversion"/>
  </si>
  <si>
    <t>ㅇ학예회 준비물품 400NTD×40명</t>
    <phoneticPr fontId="6" type="noConversion"/>
  </si>
  <si>
    <t>2. 급식종사원인건비</t>
    <phoneticPr fontId="6" type="noConversion"/>
  </si>
  <si>
    <t>ㅇ홈페이지 도메인 사용료 750NTD×1년</t>
    <phoneticPr fontId="6" type="noConversion"/>
  </si>
  <si>
    <t>2. 계속비</t>
    <phoneticPr fontId="6" type="noConversion"/>
  </si>
  <si>
    <t>타 이 뻬 이 한 국 학 교</t>
    <phoneticPr fontId="6" type="noConversion"/>
  </si>
  <si>
    <t>예 산 총 칙</t>
    <phoneticPr fontId="16" type="noConversion"/>
  </si>
  <si>
    <t xml:space="preserve">           하며, 세입ㆍ세출의 명세는 『세입ㆍ세출예산서』와 같다. </t>
    <phoneticPr fontId="16" type="noConversion"/>
  </si>
  <si>
    <t xml:space="preserve">제2조 국가로부터 용도가 지정되어 교부된 경비 또는 수익자부담경비는 추가경정예산의 성립 전에   </t>
    <phoneticPr fontId="16" type="noConversion"/>
  </si>
  <si>
    <t xml:space="preserve">         사용할 수 있으며, 이를 차기 추가경정예산에 반영한다.</t>
    <phoneticPr fontId="16" type="noConversion"/>
  </si>
  <si>
    <t xml:space="preserve">제3조 동일 예산 관내의 항간 또는 목간에 예산의 과부족이 있는 경우에는 사학기관재무ㆍ회계규칙 </t>
    <phoneticPr fontId="16" type="noConversion"/>
  </si>
  <si>
    <t xml:space="preserve">         제21조 제3항의 규정에 의하여 상호 전용할 수 있다. </t>
    <phoneticPr fontId="16" type="noConversion"/>
  </si>
  <si>
    <t xml:space="preserve">         단, 회계연도 경과 후에는 예산을 전용할 수 없으며, 업무추진비에 충당하기 위하여 다른 </t>
    <phoneticPr fontId="16" type="noConversion"/>
  </si>
  <si>
    <t xml:space="preserve">         비목에서 전용할 수 없다. </t>
    <phoneticPr fontId="16" type="noConversion"/>
  </si>
  <si>
    <t xml:space="preserve">제4조 다음의 경비에 부족이 생겼을 때에는 비목 상호간 또는 타 비목으로부터 이용할 수 있다. </t>
    <phoneticPr fontId="16" type="noConversion"/>
  </si>
  <si>
    <t xml:space="preserve">         단; 인건비 및 시설비의 예산은 다른 과목으로 이용할 수 없다.</t>
    <phoneticPr fontId="16" type="noConversion"/>
  </si>
  <si>
    <t xml:space="preserve">          1. 교원 및 직원 인건비, 연구비, 수당</t>
    <phoneticPr fontId="16" type="noConversion"/>
  </si>
  <si>
    <t xml:space="preserve">          2. 비정규직보수, 강사료</t>
    <phoneticPr fontId="16" type="noConversion"/>
  </si>
  <si>
    <t xml:space="preserve">          3. 세금, 공과금, 반환금</t>
    <phoneticPr fontId="16" type="noConversion"/>
  </si>
  <si>
    <t>1.사용료</t>
    <phoneticPr fontId="6" type="noConversion"/>
  </si>
  <si>
    <t>1. 과년도수입</t>
    <phoneticPr fontId="6" type="noConversion"/>
  </si>
  <si>
    <t>ㅇ나대지 61,668NTD×1년</t>
    <phoneticPr fontId="6" type="noConversion"/>
  </si>
  <si>
    <t>ㅇ저수조 청소 5,000NTD×2회</t>
    <phoneticPr fontId="6" type="noConversion"/>
  </si>
  <si>
    <t>ㅇ약품 1,500NTD×5회</t>
    <phoneticPr fontId="6" type="noConversion"/>
  </si>
  <si>
    <t>ㅇ직책수당(실장) 4,000NTD×1명×12월</t>
    <phoneticPr fontId="6" type="noConversion"/>
  </si>
  <si>
    <t>ㅇ응급학생 병원후송 500NTD×5회</t>
    <phoneticPr fontId="6" type="noConversion"/>
  </si>
  <si>
    <t>ㅇ상하수도요금 500NTD×12월</t>
    <phoneticPr fontId="6" type="noConversion"/>
  </si>
  <si>
    <t>=</t>
    <phoneticPr fontId="6" type="noConversion"/>
  </si>
  <si>
    <t>4. 유제품대금</t>
    <phoneticPr fontId="6" type="noConversion"/>
  </si>
  <si>
    <t>3. 운영비</t>
    <phoneticPr fontId="6" type="noConversion"/>
  </si>
  <si>
    <t>ㅇ교수학습재료구입비</t>
    <phoneticPr fontId="6" type="noConversion"/>
  </si>
  <si>
    <t>ㅇ담임수당 4,000NTD×5명×12월</t>
    <phoneticPr fontId="6" type="noConversion"/>
  </si>
  <si>
    <t>ㅇ보전수당 4,000NTD×5명×12월</t>
    <phoneticPr fontId="6" type="noConversion"/>
  </si>
  <si>
    <t>ㅇ부장수당 4,000NTD×1명×12월</t>
    <phoneticPr fontId="6" type="noConversion"/>
  </si>
  <si>
    <t>ㅇ강사수당(초등) 650NTD×4명×2시간×180일</t>
    <phoneticPr fontId="6" type="noConversion"/>
  </si>
  <si>
    <t>ㅇ강사수당(유치원) 650NTD×1명×1시간×180일</t>
    <phoneticPr fontId="6" type="noConversion"/>
  </si>
  <si>
    <t>ㅇ방과후학교운영비</t>
    <phoneticPr fontId="6" type="noConversion"/>
  </si>
  <si>
    <t>=</t>
    <phoneticPr fontId="6" type="noConversion"/>
  </si>
  <si>
    <t>ㅇ교사 45,000NTD×5명×12월</t>
    <phoneticPr fontId="6" type="noConversion"/>
  </si>
  <si>
    <t>ㅇ명절휴가비 45,000NTD×5명×2회×60%</t>
    <phoneticPr fontId="6" type="noConversion"/>
  </si>
  <si>
    <t>ㅇ주택수당 18,000NTD×5명×12월</t>
    <phoneticPr fontId="6" type="noConversion"/>
  </si>
  <si>
    <t>ㅇ체육대회 준비물품 200NTD×45개</t>
    <phoneticPr fontId="6" type="noConversion"/>
  </si>
  <si>
    <t>ㅇ체육대회 풍선장식 2,000NTD×1회</t>
    <phoneticPr fontId="6" type="noConversion"/>
  </si>
  <si>
    <t>ㅇ태권도 강사수당 900NTD×1명×3시간×40회</t>
    <phoneticPr fontId="6" type="noConversion"/>
  </si>
  <si>
    <t>ㅇ보결수당 150NTD×40시간</t>
    <phoneticPr fontId="6" type="noConversion"/>
  </si>
  <si>
    <t>ㅇ정수기 필터교환 650NTD×2대×6회</t>
    <phoneticPr fontId="6" type="noConversion"/>
  </si>
  <si>
    <t>ㅇ거류비자 및 공작증 신청 4,325NTD×4명</t>
    <phoneticPr fontId="6" type="noConversion"/>
  </si>
  <si>
    <t>ㅇ예금잔액증명 발급수수료 500NTD×5회</t>
    <phoneticPr fontId="6" type="noConversion"/>
  </si>
  <si>
    <t>ㅇ교직원 채용경비 32,000원×1회</t>
    <phoneticPr fontId="6" type="noConversion"/>
  </si>
  <si>
    <t>ㅇ타행송금및환전수수료(납입금환불) 30NTD×50회</t>
    <phoneticPr fontId="6" type="noConversion"/>
  </si>
  <si>
    <t>ㅇ사무용품 구입(교수학습자료지원금) 2,000NTD×5회</t>
    <phoneticPr fontId="6" type="noConversion"/>
  </si>
  <si>
    <t>ㅇ복사용지(교수학습자료지원금) 5,000NTD×2회</t>
    <phoneticPr fontId="6" type="noConversion"/>
  </si>
  <si>
    <t>ㅇ우편요금 150NTD×12월</t>
    <phoneticPr fontId="6" type="noConversion"/>
  </si>
  <si>
    <t>ㅇ화장실 소모품 및 청소용품 2,000NTD×4회</t>
    <phoneticPr fontId="6" type="noConversion"/>
  </si>
  <si>
    <t>ㅇ경력수당 6,200NTD×5명×12월</t>
    <phoneticPr fontId="6" type="noConversion"/>
  </si>
  <si>
    <t>ㅇ복지수당 5,000NTD×5명×12월</t>
    <phoneticPr fontId="6" type="noConversion"/>
  </si>
  <si>
    <t>ㅇ 환경개선 10,000NTD×2회</t>
    <phoneticPr fontId="6" type="noConversion"/>
  </si>
  <si>
    <t>ㅇ시간외근무수당 300NTD×5명×3시간×12월</t>
    <phoneticPr fontId="6" type="noConversion"/>
  </si>
  <si>
    <t>ㅇ시간외근무수당 300NTD×2명×8시간×12월</t>
    <phoneticPr fontId="6" type="noConversion"/>
  </si>
  <si>
    <t>ㅇ화장실 청소용역 12,000NTD×10월</t>
    <phoneticPr fontId="6" type="noConversion"/>
  </si>
  <si>
    <t>ㅇ교재 1,300NTD×45부</t>
    <phoneticPr fontId="6" type="noConversion"/>
  </si>
  <si>
    <t>ㅇ공책 10NTD×45부×6회</t>
    <phoneticPr fontId="6" type="noConversion"/>
  </si>
  <si>
    <t>ㅇ학습준비물 100NTD×45명×2회</t>
    <phoneticPr fontId="6" type="noConversion"/>
  </si>
  <si>
    <t>ㅇ행사물품 1,000NTD×1회</t>
    <phoneticPr fontId="6" type="noConversion"/>
  </si>
  <si>
    <t>ㅇ강사수당(초등) 600NTD×4명×2시간×143일</t>
    <phoneticPr fontId="6" type="noConversion"/>
  </si>
  <si>
    <t>ㅇ강사수당(유치원) 600NTD×1명×1시간×143일</t>
    <phoneticPr fontId="6" type="noConversion"/>
  </si>
  <si>
    <t>ㅇ교재 400NTD×90부</t>
    <phoneticPr fontId="6" type="noConversion"/>
  </si>
  <si>
    <t>ㅇ공책 10NTD×45부×6회</t>
    <phoneticPr fontId="6" type="noConversion"/>
  </si>
  <si>
    <t>ㅇ학예회 무대장식 4,000NTD×1회</t>
    <phoneticPr fontId="6" type="noConversion"/>
  </si>
  <si>
    <t>ㅇ식비 250NTD×3명×3회</t>
    <phoneticPr fontId="6" type="noConversion"/>
  </si>
  <si>
    <t>ㅇ입장료 600NTD×3명</t>
    <phoneticPr fontId="6" type="noConversion"/>
  </si>
  <si>
    <t>ㅇ교통비 1,500NTD×3명</t>
    <phoneticPr fontId="6" type="noConversion"/>
  </si>
  <si>
    <t>ㅇ졸업생 선물 600NTD×3개</t>
    <phoneticPr fontId="6" type="noConversion"/>
  </si>
  <si>
    <t>ㅇ졸업앨범 제작(교원,학교보관용) 666NTD×3부</t>
    <phoneticPr fontId="6" type="noConversion"/>
  </si>
  <si>
    <t>ㅇ행정장비 소모품(교수학습자료지원금) 4,000NTD×6회</t>
    <phoneticPr fontId="6" type="noConversion"/>
  </si>
  <si>
    <t>ㅇ시설소모품구입 2,000NTD×3회</t>
    <phoneticPr fontId="6" type="noConversion"/>
  </si>
  <si>
    <t>ㅇ전기안전관리용역 3,200NTD×12월</t>
    <phoneticPr fontId="6" type="noConversion"/>
  </si>
  <si>
    <t>ㅇ태권도복 600NTD×15벌</t>
    <phoneticPr fontId="6" type="noConversion"/>
  </si>
  <si>
    <t>ㅇ졸업앨범 제작(교원,학교보관용) 667NTD×3부</t>
    <phoneticPr fontId="6" type="noConversion"/>
  </si>
  <si>
    <t>ㅇ나대지 43,167NTD(1년)×1회</t>
    <phoneticPr fontId="6" type="noConversion"/>
  </si>
  <si>
    <t>ㅇ방과후교육활동비 2,640NTD×10명×16강좌</t>
    <phoneticPr fontId="6" type="noConversion"/>
  </si>
  <si>
    <t>ㅇ학교안전공제회비(학생,교직원) 550NTD×53명</t>
    <phoneticPr fontId="6" type="noConversion"/>
  </si>
  <si>
    <t>2. 지난년도 수입</t>
    <phoneticPr fontId="6" type="noConversion"/>
  </si>
  <si>
    <t>ㅇ실장 45,000NTD×1명×12월</t>
    <phoneticPr fontId="6" type="noConversion"/>
  </si>
  <si>
    <t>ㅇ부장수당 2,000NTD×1명×12월</t>
    <phoneticPr fontId="6" type="noConversion"/>
  </si>
  <si>
    <t>ㅇ경조사비 1,500NTD×2회</t>
    <phoneticPr fontId="6" type="noConversion"/>
  </si>
  <si>
    <t>ㅇ교직원 귀임 및 부임항공료 9,000NTD×5명</t>
    <phoneticPr fontId="6" type="noConversion"/>
  </si>
  <si>
    <t>ㅇ건물 청소용역 15,000NTD×10월</t>
    <phoneticPr fontId="6" type="noConversion"/>
  </si>
  <si>
    <t>ㅇ소방정밀점검 12,000NTD×1회</t>
    <phoneticPr fontId="6" type="noConversion"/>
  </si>
  <si>
    <t>ㅇ정수기 소독 3,500NTD×2대×1회</t>
    <phoneticPr fontId="6" type="noConversion"/>
  </si>
  <si>
    <t>ㅇ경력수당(실장) 2,000NTD×1명×12월</t>
    <phoneticPr fontId="6" type="noConversion"/>
  </si>
  <si>
    <t>ㅇ행정원 25,000NTD×1명×12월</t>
    <phoneticPr fontId="6" type="noConversion"/>
  </si>
  <si>
    <t>ㅇ명절휴가비 35,000NTD×2명×2회×60%</t>
    <phoneticPr fontId="6" type="noConversion"/>
  </si>
  <si>
    <t>ㅇ전화 및 인터넷요금 5,500N*12월</t>
    <phoneticPr fontId="6" type="noConversion"/>
  </si>
  <si>
    <t>ㅇ입학식 선물 300NTD×13명</t>
    <phoneticPr fontId="6" type="noConversion"/>
  </si>
  <si>
    <t>5. 현장학습 지원</t>
    <phoneticPr fontId="6" type="noConversion"/>
  </si>
  <si>
    <t>ㅇ교직원 간담회 350NTD×12명×5회</t>
    <phoneticPr fontId="6" type="noConversion"/>
  </si>
  <si>
    <t>ㅇ복지수당 5,000NTD×2명×12월</t>
    <phoneticPr fontId="6" type="noConversion"/>
  </si>
  <si>
    <t>ㅇ행정장비 소모품 구입 10,000NTD×5회</t>
    <phoneticPr fontId="6" type="noConversion"/>
  </si>
  <si>
    <t>ㅇ행정장비 유지보수 6,300NTD×1회</t>
    <phoneticPr fontId="6" type="noConversion"/>
  </si>
  <si>
    <t> 【단위 : 현지화(NTD, 괄호안 USD, 1USD=29NTD)】</t>
    <phoneticPr fontId="6" type="noConversion"/>
  </si>
  <si>
    <t>ㅇ예금이자 3,000NTD×2회</t>
    <phoneticPr fontId="6" type="noConversion"/>
  </si>
  <si>
    <t>ㅇ교재 및 재료비 400NTD×10명×8강좌</t>
    <phoneticPr fontId="6" type="noConversion"/>
  </si>
  <si>
    <t>ㅇ저소득층자녀지원금 79,461NTD×1회</t>
    <phoneticPr fontId="6" type="noConversion"/>
  </si>
  <si>
    <t>ㅇ제증명발급 수수료 100NTD×3건+1,700 NTD</t>
    <phoneticPr fontId="6" type="noConversion"/>
  </si>
  <si>
    <t>ㅇ건강보험기관부담금부담금 23,600NTD(7명)×12월+150,100NTD</t>
    <phoneticPr fontId="6" type="noConversion"/>
  </si>
  <si>
    <t>ㅇ여비(국외출장) 20,000원×2명×2회+96,000NTD</t>
    <phoneticPr fontId="6" type="noConversion"/>
  </si>
  <si>
    <t>ㅇ수학여행인솔교사 출장비 10,000NTD</t>
    <phoneticPr fontId="6" type="noConversion"/>
  </si>
  <si>
    <t>ㅇ수학여행인솔교사 숙박비 2,500NTD×2실×1박+1,000NTD</t>
    <phoneticPr fontId="6" type="noConversion"/>
  </si>
  <si>
    <t>ㅇ수학여행인솔교사 식비 300NTD×2명×11회</t>
    <phoneticPr fontId="6" type="noConversion"/>
  </si>
  <si>
    <t>ㅇ수학여행인솔교사 입장료 2,300NTD×2명</t>
    <phoneticPr fontId="6" type="noConversion"/>
  </si>
  <si>
    <t>ㅇ수학여행인솔교사 교통비 9,500NTD×2명</t>
    <phoneticPr fontId="6" type="noConversion"/>
  </si>
  <si>
    <t>ㅇ수학여행인솔교사 여행자보험 1,472NTD×2명</t>
    <phoneticPr fontId="6" type="noConversion"/>
  </si>
  <si>
    <t>ㅇ학습준비물(교수학습자료지원금) 5,327NTD×40명+34,000NTD</t>
    <phoneticPr fontId="6" type="noConversion"/>
  </si>
  <si>
    <t>12. 토요한글학교 운영(재외동포재단지원금)</t>
    <phoneticPr fontId="6" type="noConversion"/>
  </si>
  <si>
    <t>ㅇ저소득층 자녀 학비 지원금 79,461NTD</t>
    <phoneticPr fontId="6" type="noConversion"/>
  </si>
  <si>
    <t>ㅇ숙박비 750NTD×4명×4박</t>
    <phoneticPr fontId="6" type="noConversion"/>
  </si>
  <si>
    <t>ㅇ항공료 4,584NTD×4명</t>
    <phoneticPr fontId="6" type="noConversion"/>
  </si>
  <si>
    <t xml:space="preserve"> 2019학년도 </t>
    <phoneticPr fontId="16" type="noConversion"/>
  </si>
  <si>
    <t>타이뻬이한국학교회계 세입세출 예산</t>
    <phoneticPr fontId="16" type="noConversion"/>
  </si>
  <si>
    <t>2019학년도 타이뻬이한국학교회계 세입․세출예산서</t>
    <phoneticPr fontId="6" type="noConversion"/>
  </si>
  <si>
    <t>ㅇ시간강사 500NTD×2명×183일×4시간</t>
    <phoneticPr fontId="6" type="noConversion"/>
  </si>
  <si>
    <t>ㅇ초등현장학습 인솔 교직원 중식 300NTD×8명×1회</t>
    <phoneticPr fontId="6" type="noConversion"/>
  </si>
  <si>
    <t>ㅇ초등현장학습 인솔교직원 활동비 300NTD×8명×2회</t>
    <phoneticPr fontId="6" type="noConversion"/>
  </si>
  <si>
    <t>ㅇ유치원현장학습 인솔교직원 중식 300NTD×4명×1회</t>
    <phoneticPr fontId="6" type="noConversion"/>
  </si>
  <si>
    <t>ㅇ유치원현장학습 인솔교직원 활동비 300NTD×4명×1회</t>
    <phoneticPr fontId="6" type="noConversion"/>
  </si>
  <si>
    <t>ㅇ승강기안전관리용역 3,000NTD×12월</t>
    <phoneticPr fontId="6" type="noConversion"/>
  </si>
  <si>
    <t>ㅇ소규모수선 50,000NTD×1회</t>
    <phoneticPr fontId="6" type="noConversion"/>
  </si>
  <si>
    <t>ㅇ교직원 자율연수비 1,000NTD×7명×12월</t>
    <phoneticPr fontId="6" type="noConversion"/>
  </si>
  <si>
    <t>ㅇ유치원 교육전담사 170NTD×1명×8시간×183일</t>
    <phoneticPr fontId="6" type="noConversion"/>
  </si>
  <si>
    <t>ㅇ유치원 보조원 150NTD×1명×4시간×180일</t>
    <phoneticPr fontId="6" type="noConversion"/>
  </si>
  <si>
    <t>ㅇ건강보험기관부담금부담금 5,000NTD×12월</t>
    <phoneticPr fontId="6" type="noConversion"/>
  </si>
  <si>
    <t>ㅇ노동보험기관부담금 2,300NTD×12월</t>
    <phoneticPr fontId="6" type="noConversion"/>
  </si>
  <si>
    <t>ㅇ교사 90,000NTD×5명</t>
    <phoneticPr fontId="6" type="noConversion"/>
  </si>
  <si>
    <t>ㅇ학습준비물 1,000NTD×20명</t>
    <phoneticPr fontId="6" type="noConversion"/>
  </si>
  <si>
    <t>ㅇ학급운영비 400NTD×20명</t>
    <phoneticPr fontId="6" type="noConversion"/>
  </si>
  <si>
    <t>ㅇ학예회경비 200NTD×20명</t>
    <phoneticPr fontId="6" type="noConversion"/>
  </si>
  <si>
    <t>ㅇ입학선물 300NTD×20명</t>
    <phoneticPr fontId="6" type="noConversion"/>
  </si>
  <si>
    <t>ㅇ졸업사진 촬영(교원) 400NTD×3명</t>
    <phoneticPr fontId="6" type="noConversion"/>
  </si>
  <si>
    <t>ㅇ졸업선물 800NTD×8명</t>
    <phoneticPr fontId="6" type="noConversion"/>
  </si>
  <si>
    <t>ㅇ교사 소독 5,000NTD×3회=</t>
    <phoneticPr fontId="6" type="noConversion"/>
  </si>
  <si>
    <t>ㅇ차량 보험료 40,00NTD×2대×1년</t>
    <phoneticPr fontId="6" type="noConversion"/>
  </si>
  <si>
    <t>ㅇ주차요금 7,000NTD×4분기</t>
    <phoneticPr fontId="6" type="noConversion"/>
  </si>
  <si>
    <t>ㅇ차량 유류 15,600NTD×9월</t>
    <phoneticPr fontId="6" type="noConversion"/>
  </si>
  <si>
    <t>ㅇ차량 등록세 및 연료세 15,00NTD×2대×1년</t>
    <phoneticPr fontId="6" type="noConversion"/>
  </si>
  <si>
    <t>6. 저소득층자녀 학비지원(교육부지원금)</t>
    <phoneticPr fontId="6" type="noConversion"/>
  </si>
  <si>
    <t>7. 기타 학생복지 지원</t>
    <phoneticPr fontId="6" type="noConversion"/>
  </si>
  <si>
    <t>ㅇ현장학습 차량비 지원(기사인건비) 750NTD×1명×12회×3시간</t>
    <phoneticPr fontId="6" type="noConversion"/>
  </si>
  <si>
    <t>ㅇ 사무용 비품 5,000NTD×4회</t>
    <phoneticPr fontId="6" type="noConversion"/>
  </si>
  <si>
    <t>ㅇ 급식실 설치 공사비(학교지원금)</t>
    <phoneticPr fontId="6" type="noConversion"/>
  </si>
  <si>
    <t>ㅇ 요구르트 16NTD×20개×180일</t>
    <phoneticPr fontId="6" type="noConversion"/>
  </si>
  <si>
    <t>ㅇ 우유 18NTD×20개×180일</t>
    <phoneticPr fontId="6" type="noConversion"/>
  </si>
  <si>
    <t>5. 위탁급식 대금</t>
    <phoneticPr fontId="6" type="noConversion"/>
  </si>
  <si>
    <t>ㅇ졸업앨범제작비 4명× 2,017 NTD</t>
    <phoneticPr fontId="6" type="noConversion"/>
  </si>
  <si>
    <t>ㅇ졸업앨범제작비 4명× 2,017 NTD</t>
    <phoneticPr fontId="6" type="noConversion"/>
  </si>
  <si>
    <t>ㅇ졸업사진 촬영 450NTD×4명×2회</t>
    <phoneticPr fontId="6" type="noConversion"/>
  </si>
  <si>
    <t>3. 이월사업비</t>
    <phoneticPr fontId="6" type="noConversion"/>
  </si>
  <si>
    <t>ㅇ요구르트 16NTD×20명×180일</t>
    <phoneticPr fontId="6" type="noConversion"/>
  </si>
  <si>
    <t>ㅇ우유 18NTD×20명×180일</t>
    <phoneticPr fontId="6" type="noConversion"/>
  </si>
  <si>
    <t>ㅇ유치원 18,900NTD×20명×4회</t>
    <phoneticPr fontId="6" type="noConversion"/>
  </si>
  <si>
    <t>ㅇ초등학생 12,075NTD×35명×4회</t>
    <phoneticPr fontId="6" type="noConversion"/>
  </si>
  <si>
    <t>ㅇ통학버스비 314NTD×10명×182일</t>
    <phoneticPr fontId="6" type="noConversion"/>
  </si>
  <si>
    <t>ㅇ통학차량 기사인건비 325NTD×1명×5시간×150일</t>
    <phoneticPr fontId="6" type="noConversion"/>
  </si>
  <si>
    <t>ㅇ통학차량 기사인건비 425NTD×1명×5시간×150일</t>
    <phoneticPr fontId="6" type="noConversion"/>
  </si>
  <si>
    <t>ㅇ통학차량 수리비 4,490NTD×2회</t>
    <phoneticPr fontId="6" type="noConversion"/>
  </si>
  <si>
    <t>ㅇ통학버스 기사 인건비 학교 지원금 750NTD×5시간×32일</t>
    <phoneticPr fontId="6" type="noConversion"/>
  </si>
  <si>
    <t>ㅇ통학버스 안전도우미 인건비 학교 지원금 150NTD×2명×5시간×182일</t>
    <phoneticPr fontId="6" type="noConversion"/>
  </si>
  <si>
    <t>ㅇ졸업앨범(초등학생) 2,917NTD×4명</t>
    <phoneticPr fontId="6" type="noConversion"/>
  </si>
  <si>
    <t>ㅇ졸업사진 촬영 450TD×4명×2회</t>
    <phoneticPr fontId="6" type="noConversion"/>
  </si>
  <si>
    <t>ㅇ졸업앨범(유치원) 2,917NTD×4명</t>
    <phoneticPr fontId="6" type="noConversion"/>
  </si>
  <si>
    <t>ㅇ 교실 및 강당 사용료 10,000NTD×6회</t>
    <phoneticPr fontId="6" type="noConversion"/>
  </si>
  <si>
    <t>ㅇ영어강사 건강보험기관부담금 2,000NTD×12월</t>
    <phoneticPr fontId="6" type="noConversion"/>
  </si>
  <si>
    <t>ㅇ전기요금 25,000NTD×12월</t>
    <phoneticPr fontId="6" type="noConversion"/>
  </si>
  <si>
    <t>ㅇ보험료 1,226NTD×4명</t>
    <phoneticPr fontId="6" type="noConversion"/>
  </si>
  <si>
    <t>ㅇ예비비 304NTD×1회</t>
    <phoneticPr fontId="6" type="noConversion"/>
  </si>
  <si>
    <t>ㅇ수학여행 11,461NTD×4명×1회</t>
    <phoneticPr fontId="6" type="noConversion"/>
  </si>
  <si>
    <t>ㅇ 2018학년도 회계 잉여금 190,000NTD</t>
    <phoneticPr fontId="6" type="noConversion"/>
  </si>
  <si>
    <t>ㅇ학생 110NTD×50명×181식</t>
    <phoneticPr fontId="6" type="noConversion"/>
  </si>
  <si>
    <t>ㅇ교직원 110NTD×5명×181식</t>
    <phoneticPr fontId="6" type="noConversion"/>
  </si>
  <si>
    <t>ㅇ 급식비 110NTD × 55명 × 181일</t>
    <phoneticPr fontId="6" type="noConversion"/>
  </si>
  <si>
    <t>ㅇ퇴휴금(행정원) 2,000NTD×1명×12월</t>
    <phoneticPr fontId="6" type="noConversion"/>
  </si>
  <si>
    <t>ㅇ인건비 4,995,454NTD×1년</t>
    <phoneticPr fontId="6" type="noConversion"/>
  </si>
  <si>
    <t>ㅇ운영비 4,387,984NTD×1년</t>
    <phoneticPr fontId="6" type="noConversion"/>
  </si>
  <si>
    <t>ㅇ유치원 30,000NTD×6명</t>
    <phoneticPr fontId="6" type="noConversion"/>
  </si>
  <si>
    <t>ㅇ초등학생 30,000NTD×8명</t>
    <phoneticPr fontId="6" type="noConversion"/>
  </si>
  <si>
    <t>ㅇ대만국적 교직원 퇴직금 20,000NTD×1명</t>
    <phoneticPr fontId="6" type="noConversion"/>
  </si>
  <si>
    <t>(회계연도 2019년  3월  1일 ~ 2020년   2월   28일)</t>
    <phoneticPr fontId="6" type="noConversion"/>
  </si>
  <si>
    <t> 【단위 : 현지화 NTD】</t>
    <phoneticPr fontId="6" type="noConversion"/>
  </si>
  <si>
    <t>ㅇ토요한글학교운영비(재단지원금)</t>
    <phoneticPr fontId="6" type="noConversion"/>
  </si>
  <si>
    <t>제 1 조 2019학년도 타이뻬이한국학교회계 세입ㆍ세출 예산 총액은 세입ㆍ세출 각각  16,431,276NTD로</t>
    <phoneticPr fontId="16" type="noConversion"/>
  </si>
  <si>
    <t>ㅇ강사비 1,000NTD×4명×4시간×16주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</si>
</sst>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 "/>
    <numFmt numFmtId="177" formatCode="#,##0_ 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4"/>
      <color rgb="FF000000"/>
      <name val="휴먼명조"/>
      <family val="3"/>
      <charset val="129"/>
    </font>
    <font>
      <sz val="9"/>
      <color rgb="FF000000"/>
      <name val="한양신명조"/>
      <family val="3"/>
      <charset val="129"/>
    </font>
    <font>
      <b/>
      <sz val="9"/>
      <color rgb="FF000000"/>
      <name val="한양신명조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휴먼명조"/>
      <family val="3"/>
      <charset val="129"/>
    </font>
    <font>
      <sz val="13"/>
      <color rgb="FF000000"/>
      <name val="맑은 고딕"/>
      <family val="3"/>
      <charset val="129"/>
      <scheme val="major"/>
    </font>
    <font>
      <sz val="9"/>
      <color theme="1"/>
      <name val="한양신명조"/>
      <family val="3"/>
      <charset val="129"/>
    </font>
    <font>
      <b/>
      <sz val="6"/>
      <color rgb="FF000000"/>
      <name val="한양신명조"/>
      <family val="3"/>
      <charset val="129"/>
    </font>
    <font>
      <b/>
      <sz val="9"/>
      <color theme="1"/>
      <name val="한양신명조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1"/>
      <color indexed="10"/>
      <name val="HY헤드라인M"/>
      <family val="1"/>
      <charset val="129"/>
    </font>
    <font>
      <sz val="11"/>
      <color theme="1"/>
      <name val="HY헤드라인M"/>
      <family val="1"/>
      <charset val="129"/>
    </font>
    <font>
      <b/>
      <sz val="26"/>
      <name val="HY헤드라인M"/>
      <family val="1"/>
      <charset val="129"/>
    </font>
    <font>
      <sz val="8"/>
      <name val="돋움"/>
      <family val="3"/>
      <charset val="129"/>
    </font>
    <font>
      <b/>
      <sz val="28"/>
      <name val="HY헤드라인M"/>
      <family val="1"/>
      <charset val="129"/>
    </font>
    <font>
      <b/>
      <sz val="22"/>
      <name val="HY헤드라인M"/>
      <family val="1"/>
      <charset val="129"/>
    </font>
    <font>
      <sz val="24"/>
      <name val="HY헤드라인M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8"/>
      <color rgb="FF000000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41" fontId="5" fillId="0" borderId="4" xfId="1" applyFont="1" applyBorder="1" applyAlignment="1">
      <alignment horizontal="center" vertical="center" wrapText="1"/>
    </xf>
    <xf numFmtId="41" fontId="5" fillId="0" borderId="2" xfId="1" applyFont="1" applyBorder="1" applyAlignment="1">
      <alignment horizontal="justify" vertical="center" wrapText="1"/>
    </xf>
    <xf numFmtId="41" fontId="5" fillId="0" borderId="3" xfId="1" applyFont="1" applyBorder="1" applyAlignment="1">
      <alignment horizontal="justify" vertical="center" wrapText="1"/>
    </xf>
    <xf numFmtId="41" fontId="5" fillId="0" borderId="1" xfId="1" applyFont="1" applyBorder="1" applyAlignment="1">
      <alignment horizontal="justify" vertical="center" wrapText="1"/>
    </xf>
    <xf numFmtId="41" fontId="2" fillId="0" borderId="0" xfId="1" applyFont="1" applyAlignment="1">
      <alignment vertical="center"/>
    </xf>
    <xf numFmtId="0" fontId="0" fillId="0" borderId="0" xfId="0" applyFont="1" applyFill="1" applyAlignment="1">
      <alignment vertical="center"/>
    </xf>
    <xf numFmtId="41" fontId="0" fillId="0" borderId="0" xfId="1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1" applyFont="1" applyAlignment="1">
      <alignment horizontal="center" vertical="center" shrinkToFi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19" xfId="0" quotePrefix="1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41" fontId="0" fillId="0" borderId="0" xfId="1" applyFont="1" applyAlignment="1">
      <alignment horizontal="left" vertical="center"/>
    </xf>
    <xf numFmtId="41" fontId="5" fillId="0" borderId="29" xfId="1" applyFont="1" applyBorder="1" applyAlignment="1">
      <alignment horizontal="center" vertical="center" wrapText="1"/>
    </xf>
    <xf numFmtId="41" fontId="4" fillId="3" borderId="30" xfId="1" applyFont="1" applyFill="1" applyBorder="1" applyAlignment="1">
      <alignment horizontal="left" vertical="center" wrapText="1"/>
    </xf>
    <xf numFmtId="41" fontId="4" fillId="3" borderId="27" xfId="1" applyFont="1" applyFill="1" applyBorder="1" applyAlignment="1">
      <alignment horizontal="left" vertical="center" wrapText="1"/>
    </xf>
    <xf numFmtId="41" fontId="4" fillId="3" borderId="28" xfId="1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justify" vertical="top" wrapText="1"/>
    </xf>
    <xf numFmtId="41" fontId="5" fillId="0" borderId="43" xfId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justify" vertical="top" wrapText="1"/>
    </xf>
    <xf numFmtId="0" fontId="4" fillId="3" borderId="46" xfId="0" applyFont="1" applyFill="1" applyBorder="1" applyAlignment="1">
      <alignment horizontal="justify" vertical="top" wrapText="1"/>
    </xf>
    <xf numFmtId="41" fontId="4" fillId="0" borderId="48" xfId="1" applyFont="1" applyBorder="1" applyAlignment="1">
      <alignment horizontal="left" vertical="center" wrapText="1"/>
    </xf>
    <xf numFmtId="41" fontId="4" fillId="0" borderId="49" xfId="1" applyFont="1" applyBorder="1" applyAlignment="1">
      <alignment horizontal="left" vertical="center" wrapText="1"/>
    </xf>
    <xf numFmtId="41" fontId="4" fillId="0" borderId="50" xfId="1" applyFont="1" applyBorder="1" applyAlignment="1">
      <alignment horizontal="left" vertical="center" wrapText="1"/>
    </xf>
    <xf numFmtId="0" fontId="4" fillId="0" borderId="51" xfId="0" applyFont="1" applyBorder="1" applyAlignment="1">
      <alignment horizontal="justify" vertical="top" wrapText="1"/>
    </xf>
    <xf numFmtId="41" fontId="5" fillId="0" borderId="24" xfId="1" applyFont="1" applyBorder="1" applyAlignment="1">
      <alignment horizontal="left" vertical="center" shrinkToFit="1"/>
    </xf>
    <xf numFmtId="41" fontId="5" fillId="0" borderId="15" xfId="1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justify" vertical="center" wrapText="1"/>
    </xf>
    <xf numFmtId="0" fontId="4" fillId="0" borderId="54" xfId="0" applyFont="1" applyBorder="1" applyAlignment="1">
      <alignment horizontal="justify" vertical="center" wrapText="1"/>
    </xf>
    <xf numFmtId="0" fontId="4" fillId="0" borderId="57" xfId="0" applyFont="1" applyBorder="1" applyAlignment="1">
      <alignment horizontal="justify" vertical="center" wrapText="1"/>
    </xf>
    <xf numFmtId="41" fontId="5" fillId="0" borderId="19" xfId="1" applyFont="1" applyBorder="1" applyAlignment="1">
      <alignment horizontal="justify" vertical="center" wrapText="1"/>
    </xf>
    <xf numFmtId="0" fontId="5" fillId="0" borderId="52" xfId="0" applyFont="1" applyBorder="1" applyAlignment="1">
      <alignment horizontal="justify" vertical="center" wrapText="1"/>
    </xf>
    <xf numFmtId="41" fontId="4" fillId="0" borderId="53" xfId="1" applyFont="1" applyFill="1" applyBorder="1" applyAlignment="1">
      <alignment horizontal="left" vertical="center" shrinkToFit="1"/>
    </xf>
    <xf numFmtId="41" fontId="4" fillId="0" borderId="0" xfId="1" applyFont="1" applyFill="1" applyBorder="1" applyAlignment="1">
      <alignment horizontal="justify" vertical="center" wrapText="1"/>
    </xf>
    <xf numFmtId="41" fontId="4" fillId="0" borderId="16" xfId="1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justify" vertical="center" wrapText="1"/>
    </xf>
    <xf numFmtId="41" fontId="4" fillId="0" borderId="55" xfId="1" applyFont="1" applyFill="1" applyBorder="1" applyAlignment="1">
      <alignment horizontal="left" vertical="center" shrinkToFit="1"/>
    </xf>
    <xf numFmtId="41" fontId="4" fillId="0" borderId="56" xfId="1" applyFont="1" applyFill="1" applyBorder="1" applyAlignment="1">
      <alignment horizontal="justify" vertical="center" wrapText="1"/>
    </xf>
    <xf numFmtId="41" fontId="4" fillId="0" borderId="14" xfId="1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justify" vertical="center" wrapText="1"/>
    </xf>
    <xf numFmtId="0" fontId="4" fillId="0" borderId="52" xfId="0" applyFont="1" applyFill="1" applyBorder="1" applyAlignment="1">
      <alignment horizontal="justify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quotePrefix="1" applyFont="1" applyBorder="1" applyAlignment="1">
      <alignment vertical="center" wrapText="1"/>
    </xf>
    <xf numFmtId="0" fontId="4" fillId="0" borderId="58" xfId="0" applyFont="1" applyBorder="1" applyAlignment="1">
      <alignment horizontal="justify" vertical="top" wrapText="1"/>
    </xf>
    <xf numFmtId="0" fontId="4" fillId="0" borderId="5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right" vertical="center" shrinkToFit="1"/>
    </xf>
    <xf numFmtId="0" fontId="5" fillId="0" borderId="12" xfId="0" quotePrefix="1" applyFont="1" applyBorder="1" applyAlignment="1">
      <alignment horizontal="justify"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9" xfId="0" applyFont="1" applyBorder="1" applyAlignment="1">
      <alignment horizontal="justify" vertical="center" shrinkToFit="1"/>
    </xf>
    <xf numFmtId="0" fontId="5" fillId="0" borderId="40" xfId="0" quotePrefix="1" applyFont="1" applyBorder="1" applyAlignment="1">
      <alignment horizontal="justify" vertical="center" shrinkToFit="1"/>
    </xf>
    <xf numFmtId="0" fontId="5" fillId="0" borderId="35" xfId="0" applyFont="1" applyBorder="1" applyAlignment="1">
      <alignment horizontal="right" vertical="center" shrinkToFit="1"/>
    </xf>
    <xf numFmtId="0" fontId="5" fillId="0" borderId="26" xfId="0" quotePrefix="1" applyFont="1" applyBorder="1" applyAlignment="1">
      <alignment horizontal="justify" vertical="center" shrinkToFit="1"/>
    </xf>
    <xf numFmtId="0" fontId="7" fillId="0" borderId="0" xfId="0" applyFont="1" applyAlignment="1">
      <alignment horizontal="justify" vertical="center" shrinkToFit="1"/>
    </xf>
    <xf numFmtId="0" fontId="2" fillId="0" borderId="0" xfId="0" applyFont="1" applyAlignment="1">
      <alignment vertical="center" shrinkToFit="1"/>
    </xf>
    <xf numFmtId="41" fontId="2" fillId="0" borderId="0" xfId="1" applyFont="1" applyAlignment="1">
      <alignment vertical="center" shrinkToFit="1"/>
    </xf>
    <xf numFmtId="41" fontId="5" fillId="0" borderId="12" xfId="1" applyFont="1" applyBorder="1" applyAlignment="1">
      <alignment vertical="center" shrinkToFit="1"/>
    </xf>
    <xf numFmtId="41" fontId="5" fillId="0" borderId="37" xfId="1" applyFont="1" applyBorder="1" applyAlignment="1">
      <alignment vertical="center" shrinkToFit="1"/>
    </xf>
    <xf numFmtId="41" fontId="5" fillId="0" borderId="29" xfId="1" applyFont="1" applyBorder="1" applyAlignment="1">
      <alignment vertical="center" shrinkToFit="1"/>
    </xf>
    <xf numFmtId="41" fontId="5" fillId="0" borderId="16" xfId="1" applyFont="1" applyBorder="1" applyAlignment="1">
      <alignment vertical="center" shrinkToFit="1"/>
    </xf>
    <xf numFmtId="41" fontId="5" fillId="0" borderId="41" xfId="1" applyFont="1" applyBorder="1" applyAlignment="1">
      <alignment vertical="center" shrinkToFit="1"/>
    </xf>
    <xf numFmtId="41" fontId="5" fillId="0" borderId="47" xfId="1" applyFont="1" applyBorder="1" applyAlignment="1">
      <alignment vertical="center" shrinkToFit="1"/>
    </xf>
    <xf numFmtId="0" fontId="4" fillId="0" borderId="46" xfId="0" applyFont="1" applyBorder="1" applyAlignment="1">
      <alignment horizontal="justify" vertical="top" wrapText="1"/>
    </xf>
    <xf numFmtId="0" fontId="5" fillId="0" borderId="29" xfId="0" quotePrefix="1" applyFont="1" applyBorder="1" applyAlignment="1">
      <alignment horizontal="justify" vertical="center" shrinkToFit="1"/>
    </xf>
    <xf numFmtId="0" fontId="5" fillId="0" borderId="11" xfId="0" quotePrefix="1" applyFont="1" applyBorder="1" applyAlignment="1">
      <alignment horizontal="justify" vertical="center" shrinkToFit="1"/>
    </xf>
    <xf numFmtId="0" fontId="4" fillId="0" borderId="62" xfId="0" applyFont="1" applyBorder="1" applyAlignment="1">
      <alignment horizontal="justify" vertical="center" wrapText="1"/>
    </xf>
    <xf numFmtId="41" fontId="5" fillId="0" borderId="4" xfId="1" applyFont="1" applyBorder="1" applyAlignment="1">
      <alignment horizontal="center" vertical="center" shrinkToFit="1"/>
    </xf>
    <xf numFmtId="41" fontId="5" fillId="0" borderId="2" xfId="1" applyFont="1" applyBorder="1" applyAlignment="1">
      <alignment horizontal="right" vertical="center" shrinkToFit="1"/>
    </xf>
    <xf numFmtId="41" fontId="5" fillId="0" borderId="3" xfId="1" applyFont="1" applyBorder="1" applyAlignment="1">
      <alignment horizontal="right" vertical="center" shrinkToFit="1"/>
    </xf>
    <xf numFmtId="41" fontId="5" fillId="0" borderId="1" xfId="1" applyFont="1" applyBorder="1" applyAlignment="1">
      <alignment horizontal="right" vertical="center" shrinkToFit="1"/>
    </xf>
    <xf numFmtId="0" fontId="5" fillId="0" borderId="64" xfId="0" applyFont="1" applyBorder="1" applyAlignment="1">
      <alignment horizontal="justify" vertical="center" wrapText="1"/>
    </xf>
    <xf numFmtId="0" fontId="5" fillId="0" borderId="62" xfId="0" applyFont="1" applyBorder="1" applyAlignment="1">
      <alignment horizontal="justify" vertical="center" wrapText="1"/>
    </xf>
    <xf numFmtId="41" fontId="9" fillId="0" borderId="53" xfId="1" applyFont="1" applyFill="1" applyBorder="1" applyAlignment="1">
      <alignment horizontal="left" vertical="center" shrinkToFit="1"/>
    </xf>
    <xf numFmtId="41" fontId="9" fillId="0" borderId="0" xfId="1" applyFont="1" applyFill="1" applyBorder="1" applyAlignment="1">
      <alignment horizontal="center" vertical="center" wrapText="1"/>
    </xf>
    <xf numFmtId="41" fontId="9" fillId="0" borderId="16" xfId="1" applyFont="1" applyFill="1" applyBorder="1" applyAlignment="1">
      <alignment horizontal="center" vertical="center" shrinkToFit="1"/>
    </xf>
    <xf numFmtId="0" fontId="9" fillId="0" borderId="54" xfId="0" applyFont="1" applyFill="1" applyBorder="1" applyAlignment="1">
      <alignment horizontal="justify" vertical="center" wrapText="1"/>
    </xf>
    <xf numFmtId="41" fontId="2" fillId="0" borderId="0" xfId="1" applyFont="1" applyAlignment="1">
      <alignment horizontal="right" vertical="center" shrinkToFit="1"/>
    </xf>
    <xf numFmtId="0" fontId="2" fillId="0" borderId="18" xfId="0" applyFont="1" applyBorder="1" applyAlignment="1">
      <alignment vertical="center"/>
    </xf>
    <xf numFmtId="41" fontId="5" fillId="0" borderId="3" xfId="1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justify" vertical="center" wrapText="1"/>
    </xf>
    <xf numFmtId="41" fontId="5" fillId="0" borderId="63" xfId="1" applyFont="1" applyFill="1" applyBorder="1" applyAlignment="1">
      <alignment horizontal="left" vertical="center" shrinkToFit="1"/>
    </xf>
    <xf numFmtId="41" fontId="5" fillId="0" borderId="25" xfId="1" applyFont="1" applyFill="1" applyBorder="1" applyAlignment="1">
      <alignment horizontal="center" vertical="center" wrapText="1"/>
    </xf>
    <xf numFmtId="41" fontId="5" fillId="0" borderId="37" xfId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left" vertical="center" wrapText="1"/>
    </xf>
    <xf numFmtId="41" fontId="4" fillId="0" borderId="0" xfId="1" applyFont="1" applyFill="1" applyBorder="1" applyAlignment="1">
      <alignment horizontal="center" vertical="center" shrinkToFit="1"/>
    </xf>
    <xf numFmtId="41" fontId="4" fillId="0" borderId="27" xfId="1" applyFont="1" applyFill="1" applyBorder="1" applyAlignment="1">
      <alignment horizontal="left" vertical="center" wrapText="1"/>
    </xf>
    <xf numFmtId="41" fontId="4" fillId="0" borderId="28" xfId="1" applyFont="1" applyFill="1" applyBorder="1" applyAlignment="1">
      <alignment horizontal="left" vertical="center" wrapText="1"/>
    </xf>
    <xf numFmtId="41" fontId="5" fillId="0" borderId="24" xfId="1" applyFont="1" applyFill="1" applyBorder="1" applyAlignment="1">
      <alignment horizontal="left" vertical="center" shrinkToFit="1"/>
    </xf>
    <xf numFmtId="41" fontId="5" fillId="0" borderId="19" xfId="1" applyFont="1" applyFill="1" applyBorder="1" applyAlignment="1">
      <alignment horizontal="center" vertical="center" wrapText="1"/>
    </xf>
    <xf numFmtId="41" fontId="5" fillId="0" borderId="15" xfId="1" applyFont="1" applyFill="1" applyBorder="1" applyAlignment="1">
      <alignment horizontal="center" vertical="center" shrinkToFit="1"/>
    </xf>
    <xf numFmtId="41" fontId="5" fillId="0" borderId="36" xfId="1" applyFont="1" applyFill="1" applyBorder="1" applyAlignment="1">
      <alignment horizontal="left" vertical="center" shrinkToFit="1"/>
    </xf>
    <xf numFmtId="41" fontId="5" fillId="0" borderId="25" xfId="1" applyFont="1" applyFill="1" applyBorder="1" applyAlignment="1">
      <alignment horizontal="left" vertical="center" wrapText="1"/>
    </xf>
    <xf numFmtId="41" fontId="5" fillId="0" borderId="26" xfId="1" applyFont="1" applyFill="1" applyBorder="1" applyAlignment="1">
      <alignment horizontal="left" vertical="center" wrapText="1"/>
    </xf>
    <xf numFmtId="41" fontId="4" fillId="0" borderId="38" xfId="1" applyFont="1" applyFill="1" applyBorder="1" applyAlignment="1">
      <alignment horizontal="left" vertical="center" shrinkToFit="1"/>
    </xf>
    <xf numFmtId="41" fontId="4" fillId="0" borderId="40" xfId="1" applyFont="1" applyFill="1" applyBorder="1" applyAlignment="1">
      <alignment horizontal="left" vertical="center" wrapText="1"/>
    </xf>
    <xf numFmtId="41" fontId="4" fillId="0" borderId="30" xfId="1" applyFont="1" applyFill="1" applyBorder="1" applyAlignment="1">
      <alignment horizontal="left" vertical="center" shrinkToFit="1"/>
    </xf>
    <xf numFmtId="41" fontId="5" fillId="0" borderId="19" xfId="1" applyFont="1" applyFill="1" applyBorder="1" applyAlignment="1">
      <alignment horizontal="justify" vertical="center" wrapText="1"/>
    </xf>
    <xf numFmtId="41" fontId="5" fillId="0" borderId="53" xfId="1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41" fontId="5" fillId="0" borderId="3" xfId="1" applyFont="1" applyFill="1" applyBorder="1" applyAlignment="1">
      <alignment horizontal="justify" vertical="center" wrapText="1"/>
    </xf>
    <xf numFmtId="41" fontId="5" fillId="0" borderId="3" xfId="1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5" fillId="0" borderId="2" xfId="1" applyFont="1" applyFill="1" applyBorder="1" applyAlignment="1">
      <alignment horizontal="justify" vertical="center" wrapText="1"/>
    </xf>
    <xf numFmtId="41" fontId="5" fillId="0" borderId="2" xfId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52" xfId="0" applyFont="1" applyFill="1" applyBorder="1" applyAlignment="1">
      <alignment horizontal="justify" vertical="center" wrapText="1"/>
    </xf>
    <xf numFmtId="41" fontId="5" fillId="0" borderId="53" xfId="1" applyFont="1" applyBorder="1" applyAlignment="1">
      <alignment horizontal="right" vertical="center" shrinkToFit="1"/>
    </xf>
    <xf numFmtId="41" fontId="5" fillId="0" borderId="53" xfId="1" applyFont="1" applyFill="1" applyBorder="1" applyAlignment="1">
      <alignment horizontal="right" vertical="center" shrinkToFit="1"/>
    </xf>
    <xf numFmtId="41" fontId="5" fillId="0" borderId="30" xfId="1" applyFont="1" applyFill="1" applyBorder="1" applyAlignment="1">
      <alignment horizontal="left" vertical="center" shrinkToFit="1"/>
    </xf>
    <xf numFmtId="0" fontId="4" fillId="0" borderId="70" xfId="0" applyFont="1" applyFill="1" applyBorder="1" applyAlignment="1">
      <alignment horizontal="justify" vertical="center" wrapText="1"/>
    </xf>
    <xf numFmtId="0" fontId="5" fillId="0" borderId="40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vertical="center" shrinkToFit="1"/>
    </xf>
    <xf numFmtId="0" fontId="4" fillId="0" borderId="54" xfId="0" applyFont="1" applyFill="1" applyBorder="1" applyAlignment="1">
      <alignment horizontal="justify" vertical="top" wrapText="1"/>
    </xf>
    <xf numFmtId="0" fontId="4" fillId="0" borderId="59" xfId="0" applyFont="1" applyFill="1" applyBorder="1" applyAlignment="1">
      <alignment horizontal="justify" vertical="top" wrapText="1"/>
    </xf>
    <xf numFmtId="0" fontId="4" fillId="0" borderId="58" xfId="0" applyFont="1" applyFill="1" applyBorder="1" applyAlignment="1">
      <alignment horizontal="justify" vertical="top" wrapText="1"/>
    </xf>
    <xf numFmtId="0" fontId="5" fillId="0" borderId="15" xfId="0" quotePrefix="1" applyFont="1" applyBorder="1" applyAlignment="1">
      <alignment horizontal="left" vertical="top" shrinkToFit="1"/>
    </xf>
    <xf numFmtId="176" fontId="5" fillId="0" borderId="16" xfId="1" applyNumberFormat="1" applyFont="1" applyFill="1" applyBorder="1" applyAlignment="1">
      <alignment horizontal="right" vertical="center" shrinkToFit="1"/>
    </xf>
    <xf numFmtId="0" fontId="2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0" xfId="0" quotePrefix="1" applyFont="1" applyBorder="1" applyAlignment="1">
      <alignment vertical="center" wrapText="1"/>
    </xf>
    <xf numFmtId="0" fontId="5" fillId="0" borderId="71" xfId="0" quotePrefix="1" applyFont="1" applyBorder="1" applyAlignment="1">
      <alignment vertical="center" wrapText="1"/>
    </xf>
    <xf numFmtId="177" fontId="5" fillId="0" borderId="2" xfId="1" applyNumberFormat="1" applyFont="1" applyBorder="1" applyAlignment="1">
      <alignment horizontal="right" vertical="center" wrapText="1"/>
    </xf>
    <xf numFmtId="41" fontId="5" fillId="0" borderId="44" xfId="1" applyFont="1" applyBorder="1" applyAlignment="1">
      <alignment horizontal="center" vertical="center" wrapText="1"/>
    </xf>
    <xf numFmtId="41" fontId="5" fillId="0" borderId="12" xfId="1" applyFont="1" applyBorder="1" applyAlignment="1">
      <alignment horizontal="justify" vertical="center" shrinkToFit="1"/>
    </xf>
    <xf numFmtId="41" fontId="5" fillId="0" borderId="29" xfId="1" applyFont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justify" vertical="center" shrinkToFit="1"/>
    </xf>
    <xf numFmtId="41" fontId="5" fillId="0" borderId="47" xfId="1" applyFont="1" applyBorder="1" applyAlignment="1">
      <alignment horizontal="justify" vertical="center" shrinkToFit="1"/>
    </xf>
    <xf numFmtId="41" fontId="4" fillId="0" borderId="0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justify" vertical="top" wrapText="1"/>
    </xf>
    <xf numFmtId="41" fontId="5" fillId="3" borderId="43" xfId="1" applyFont="1" applyFill="1" applyBorder="1" applyAlignment="1">
      <alignment horizontal="justify" vertical="center" shrinkToFit="1"/>
    </xf>
    <xf numFmtId="41" fontId="5" fillId="3" borderId="43" xfId="1" applyFont="1" applyFill="1" applyBorder="1" applyAlignment="1">
      <alignment vertical="center" shrinkToFit="1"/>
    </xf>
    <xf numFmtId="41" fontId="4" fillId="3" borderId="73" xfId="1" applyFont="1" applyFill="1" applyBorder="1" applyAlignment="1">
      <alignment horizontal="left" vertical="center" wrapText="1"/>
    </xf>
    <xf numFmtId="41" fontId="4" fillId="3" borderId="60" xfId="1" applyFont="1" applyFill="1" applyBorder="1" applyAlignment="1">
      <alignment horizontal="left" vertical="center" wrapText="1"/>
    </xf>
    <xf numFmtId="41" fontId="4" fillId="3" borderId="61" xfId="1" applyFont="1" applyFill="1" applyBorder="1" applyAlignment="1">
      <alignment horizontal="left" vertical="center" wrapText="1"/>
    </xf>
    <xf numFmtId="0" fontId="4" fillId="3" borderId="74" xfId="0" applyFont="1" applyFill="1" applyBorder="1" applyAlignment="1">
      <alignment horizontal="justify" vertical="top" wrapText="1"/>
    </xf>
    <xf numFmtId="0" fontId="5" fillId="3" borderId="75" xfId="0" applyFont="1" applyFill="1" applyBorder="1" applyAlignment="1">
      <alignment horizontal="justify" vertical="center" shrinkToFit="1"/>
    </xf>
    <xf numFmtId="0" fontId="5" fillId="3" borderId="28" xfId="0" applyFont="1" applyFill="1" applyBorder="1" applyAlignment="1">
      <alignment horizontal="justify" vertical="center" shrinkToFit="1"/>
    </xf>
    <xf numFmtId="41" fontId="4" fillId="0" borderId="25" xfId="1" applyFont="1" applyFill="1" applyBorder="1" applyAlignment="1">
      <alignment horizontal="left" vertical="center" wrapText="1"/>
    </xf>
    <xf numFmtId="41" fontId="5" fillId="0" borderId="27" xfId="1" applyFont="1" applyFill="1" applyBorder="1" applyAlignment="1">
      <alignment horizontal="left" vertical="center" shrinkToFit="1"/>
    </xf>
    <xf numFmtId="0" fontId="4" fillId="0" borderId="59" xfId="0" applyFont="1" applyBorder="1" applyAlignment="1">
      <alignment horizontal="justify" vertical="top" wrapText="1"/>
    </xf>
    <xf numFmtId="41" fontId="5" fillId="0" borderId="36" xfId="1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justify" vertical="top" wrapText="1"/>
    </xf>
    <xf numFmtId="0" fontId="10" fillId="0" borderId="40" xfId="0" quotePrefix="1" applyFont="1" applyFill="1" applyBorder="1" applyAlignment="1">
      <alignment horizontal="justify" vertical="center" shrinkToFit="1"/>
    </xf>
    <xf numFmtId="0" fontId="4" fillId="0" borderId="45" xfId="0" applyFont="1" applyFill="1" applyBorder="1" applyAlignment="1">
      <alignment horizontal="justify" vertical="top" wrapText="1"/>
    </xf>
    <xf numFmtId="0" fontId="10" fillId="0" borderId="12" xfId="0" quotePrefix="1" applyFont="1" applyFill="1" applyBorder="1" applyAlignment="1">
      <alignment horizontal="justify" vertical="center" shrinkToFit="1"/>
    </xf>
    <xf numFmtId="0" fontId="10" fillId="0" borderId="11" xfId="0" quotePrefix="1" applyFont="1" applyFill="1" applyBorder="1" applyAlignment="1">
      <alignment horizontal="justify" vertical="center" shrinkToFit="1"/>
    </xf>
    <xf numFmtId="0" fontId="4" fillId="0" borderId="46" xfId="0" applyFont="1" applyFill="1" applyBorder="1" applyAlignment="1">
      <alignment horizontal="justify" vertical="top" wrapText="1"/>
    </xf>
    <xf numFmtId="0" fontId="5" fillId="0" borderId="12" xfId="0" quotePrefix="1" applyFont="1" applyFill="1" applyBorder="1" applyAlignment="1">
      <alignment horizontal="justify" vertical="center" shrinkToFit="1"/>
    </xf>
    <xf numFmtId="0" fontId="5" fillId="0" borderId="11" xfId="0" quotePrefix="1" applyFont="1" applyFill="1" applyBorder="1" applyAlignment="1">
      <alignment horizontal="justify" vertical="center" shrinkToFit="1"/>
    </xf>
    <xf numFmtId="41" fontId="5" fillId="0" borderId="30" xfId="1" applyFont="1" applyFill="1" applyBorder="1" applyAlignment="1">
      <alignment horizontal="left" vertical="center" wrapText="1"/>
    </xf>
    <xf numFmtId="0" fontId="5" fillId="0" borderId="50" xfId="0" quotePrefix="1" applyFont="1" applyBorder="1" applyAlignment="1">
      <alignment horizontal="justify" vertical="center" shrinkToFit="1"/>
    </xf>
    <xf numFmtId="0" fontId="4" fillId="0" borderId="76" xfId="0" applyFont="1" applyBorder="1" applyAlignment="1">
      <alignment horizontal="justify" vertical="top" wrapText="1"/>
    </xf>
    <xf numFmtId="0" fontId="4" fillId="3" borderId="59" xfId="0" applyFont="1" applyFill="1" applyBorder="1" applyAlignment="1">
      <alignment horizontal="justify" vertical="top" wrapText="1"/>
    </xf>
    <xf numFmtId="41" fontId="5" fillId="0" borderId="38" xfId="1" applyFont="1" applyFill="1" applyBorder="1" applyAlignment="1">
      <alignment horizontal="left" vertical="center" shrinkToFit="1"/>
    </xf>
    <xf numFmtId="0" fontId="10" fillId="0" borderId="28" xfId="0" quotePrefix="1" applyFont="1" applyBorder="1" applyAlignment="1">
      <alignment horizontal="justify" vertical="center" shrinkToFit="1"/>
    </xf>
    <xf numFmtId="41" fontId="4" fillId="0" borderId="38" xfId="1" applyFont="1" applyFill="1" applyBorder="1" applyAlignment="1">
      <alignment horizontal="left" vertical="center" wrapText="1"/>
    </xf>
    <xf numFmtId="41" fontId="5" fillId="0" borderId="36" xfId="1" applyFont="1" applyBorder="1" applyAlignment="1">
      <alignment horizontal="left" vertical="center" shrinkToFit="1"/>
    </xf>
    <xf numFmtId="41" fontId="4" fillId="0" borderId="25" xfId="1" applyFont="1" applyBorder="1" applyAlignment="1">
      <alignment horizontal="left" vertical="center" wrapText="1"/>
    </xf>
    <xf numFmtId="41" fontId="4" fillId="0" borderId="0" xfId="1" applyFont="1" applyBorder="1" applyAlignment="1">
      <alignment horizontal="left" vertical="center" wrapText="1"/>
    </xf>
    <xf numFmtId="41" fontId="5" fillId="0" borderId="38" xfId="1" applyFont="1" applyBorder="1" applyAlignment="1">
      <alignment horizontal="left" vertical="center" shrinkToFit="1"/>
    </xf>
    <xf numFmtId="41" fontId="4" fillId="0" borderId="40" xfId="1" applyFont="1" applyBorder="1" applyAlignment="1">
      <alignment horizontal="left" vertical="center" wrapText="1"/>
    </xf>
    <xf numFmtId="41" fontId="5" fillId="0" borderId="43" xfId="1" applyFont="1" applyBorder="1" applyAlignment="1">
      <alignment horizontal="justify" vertical="center" shrinkToFit="1"/>
    </xf>
    <xf numFmtId="41" fontId="5" fillId="0" borderId="43" xfId="1" applyFont="1" applyBorder="1" applyAlignment="1">
      <alignment vertical="center" shrinkToFit="1"/>
    </xf>
    <xf numFmtId="0" fontId="4" fillId="0" borderId="74" xfId="0" applyFont="1" applyBorder="1" applyAlignment="1">
      <alignment horizontal="justify" vertical="top" wrapText="1"/>
    </xf>
    <xf numFmtId="0" fontId="5" fillId="0" borderId="50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41" fontId="4" fillId="0" borderId="61" xfId="1" applyFont="1" applyBorder="1" applyAlignment="1">
      <alignment horizontal="left" vertical="center" wrapText="1"/>
    </xf>
    <xf numFmtId="41" fontId="4" fillId="0" borderId="73" xfId="1" applyFont="1" applyBorder="1" applyAlignment="1">
      <alignment horizontal="left" vertical="center" wrapText="1"/>
    </xf>
    <xf numFmtId="41" fontId="4" fillId="0" borderId="60" xfId="1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41" fontId="4" fillId="3" borderId="53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justify" vertical="center" wrapText="1"/>
    </xf>
    <xf numFmtId="41" fontId="4" fillId="3" borderId="16" xfId="1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justify" vertical="center" wrapText="1"/>
    </xf>
    <xf numFmtId="41" fontId="5" fillId="3" borderId="4" xfId="1" applyFont="1" applyFill="1" applyBorder="1" applyAlignment="1">
      <alignment horizontal="justify" vertical="center" wrapText="1"/>
    </xf>
    <xf numFmtId="41" fontId="5" fillId="3" borderId="4" xfId="1" applyFont="1" applyFill="1" applyBorder="1" applyAlignment="1">
      <alignment horizontal="right" vertical="center" shrinkToFit="1"/>
    </xf>
    <xf numFmtId="41" fontId="4" fillId="3" borderId="78" xfId="1" applyFont="1" applyFill="1" applyBorder="1" applyAlignment="1">
      <alignment horizontal="left" vertical="center" shrinkToFit="1"/>
    </xf>
    <xf numFmtId="41" fontId="4" fillId="3" borderId="60" xfId="1" applyFont="1" applyFill="1" applyBorder="1" applyAlignment="1">
      <alignment horizontal="justify" vertical="center" wrapText="1"/>
    </xf>
    <xf numFmtId="41" fontId="4" fillId="3" borderId="13" xfId="1" applyFont="1" applyFill="1" applyBorder="1" applyAlignment="1">
      <alignment horizontal="center" vertical="center" shrinkToFit="1"/>
    </xf>
    <xf numFmtId="0" fontId="4" fillId="3" borderId="79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77" fontId="5" fillId="3" borderId="4" xfId="1" applyNumberFormat="1" applyFont="1" applyFill="1" applyBorder="1" applyAlignment="1">
      <alignment horizontal="right" vertical="center" wrapText="1"/>
    </xf>
    <xf numFmtId="176" fontId="5" fillId="0" borderId="15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horizontal="justify" vertical="center" wrapText="1"/>
    </xf>
    <xf numFmtId="0" fontId="5" fillId="0" borderId="71" xfId="0" applyFont="1" applyFill="1" applyBorder="1" applyAlignment="1">
      <alignment vertical="center" shrinkToFit="1"/>
    </xf>
    <xf numFmtId="0" fontId="5" fillId="3" borderId="14" xfId="0" applyFont="1" applyFill="1" applyBorder="1" applyAlignment="1">
      <alignment horizontal="center" vertical="center" wrapText="1"/>
    </xf>
    <xf numFmtId="41" fontId="4" fillId="3" borderId="55" xfId="1" applyFont="1" applyFill="1" applyBorder="1" applyAlignment="1">
      <alignment horizontal="left" vertical="center" shrinkToFit="1"/>
    </xf>
    <xf numFmtId="41" fontId="4" fillId="3" borderId="56" xfId="1" applyFont="1" applyFill="1" applyBorder="1" applyAlignment="1">
      <alignment horizontal="justify" vertical="center" wrapText="1"/>
    </xf>
    <xf numFmtId="41" fontId="4" fillId="3" borderId="14" xfId="1" applyFont="1" applyFill="1" applyBorder="1" applyAlignment="1">
      <alignment horizontal="center" vertical="center" shrinkToFit="1"/>
    </xf>
    <xf numFmtId="0" fontId="4" fillId="3" borderId="57" xfId="0" applyFont="1" applyFill="1" applyBorder="1" applyAlignment="1">
      <alignment horizontal="justify" vertical="center" wrapText="1"/>
    </xf>
    <xf numFmtId="41" fontId="4" fillId="0" borderId="19" xfId="1" applyFont="1" applyBorder="1" applyAlignment="1">
      <alignment horizontal="justify" vertical="center" wrapText="1"/>
    </xf>
    <xf numFmtId="0" fontId="5" fillId="0" borderId="15" xfId="1" applyNumberFormat="1" applyFont="1" applyBorder="1" applyAlignment="1">
      <alignment horizontal="right" vertical="center" shrinkToFit="1"/>
    </xf>
    <xf numFmtId="0" fontId="5" fillId="0" borderId="80" xfId="0" quotePrefix="1" applyFont="1" applyBorder="1" applyAlignment="1">
      <alignment horizontal="left" vertical="center" wrapText="1"/>
    </xf>
    <xf numFmtId="41" fontId="5" fillId="0" borderId="55" xfId="1" applyFont="1" applyBorder="1" applyAlignment="1">
      <alignment horizontal="left" vertical="center" shrinkToFit="1"/>
    </xf>
    <xf numFmtId="41" fontId="4" fillId="0" borderId="56" xfId="1" applyFont="1" applyBorder="1" applyAlignment="1">
      <alignment horizontal="justify" vertical="center" wrapText="1"/>
    </xf>
    <xf numFmtId="0" fontId="5" fillId="0" borderId="14" xfId="1" applyNumberFormat="1" applyFont="1" applyBorder="1" applyAlignment="1">
      <alignment horizontal="right" vertical="center" shrinkToFit="1"/>
    </xf>
    <xf numFmtId="0" fontId="5" fillId="0" borderId="81" xfId="0" quotePrefix="1" applyFont="1" applyBorder="1" applyAlignment="1">
      <alignment horizontal="left" vertical="center" wrapText="1"/>
    </xf>
    <xf numFmtId="0" fontId="5" fillId="0" borderId="81" xfId="0" quotePrefix="1" applyFont="1" applyBorder="1" applyAlignment="1">
      <alignment horizontal="left" vertical="center" shrinkToFit="1"/>
    </xf>
    <xf numFmtId="0" fontId="5" fillId="0" borderId="80" xfId="0" quotePrefix="1" applyFont="1" applyBorder="1" applyAlignment="1">
      <alignment horizontal="left" vertical="center" shrinkToFit="1"/>
    </xf>
    <xf numFmtId="0" fontId="4" fillId="0" borderId="74" xfId="0" applyFont="1" applyBorder="1" applyAlignment="1">
      <alignment horizontal="justify" vertical="center" wrapText="1"/>
    </xf>
    <xf numFmtId="0" fontId="0" fillId="0" borderId="51" xfId="0" applyBorder="1" applyAlignment="1">
      <alignment vertical="center"/>
    </xf>
    <xf numFmtId="41" fontId="4" fillId="0" borderId="61" xfId="1" applyFont="1" applyBorder="1" applyAlignment="1">
      <alignment horizontal="center" vertical="center" shrinkToFit="1"/>
    </xf>
    <xf numFmtId="41" fontId="0" fillId="0" borderId="50" xfId="1" applyFont="1" applyBorder="1" applyAlignment="1">
      <alignment horizontal="center" vertical="center" shrinkToFit="1"/>
    </xf>
    <xf numFmtId="41" fontId="4" fillId="0" borderId="73" xfId="1" applyFont="1" applyBorder="1" applyAlignment="1">
      <alignment horizontal="left" vertical="center" shrinkToFit="1"/>
    </xf>
    <xf numFmtId="41" fontId="4" fillId="0" borderId="60" xfId="1" applyFont="1" applyBorder="1" applyAlignment="1">
      <alignment horizontal="justify" vertical="center" wrapText="1"/>
    </xf>
    <xf numFmtId="41" fontId="0" fillId="0" borderId="48" xfId="1" applyFont="1" applyBorder="1" applyAlignment="1">
      <alignment horizontal="left" vertical="center" shrinkToFit="1"/>
    </xf>
    <xf numFmtId="41" fontId="0" fillId="0" borderId="49" xfId="1" applyFont="1" applyBorder="1" applyAlignment="1">
      <alignment vertical="center"/>
    </xf>
    <xf numFmtId="0" fontId="2" fillId="0" borderId="7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1" fontId="5" fillId="0" borderId="12" xfId="1" applyNumberFormat="1" applyFont="1" applyFill="1" applyBorder="1" applyAlignment="1">
      <alignment horizontal="right" vertical="center" shrinkToFit="1"/>
    </xf>
    <xf numFmtId="0" fontId="10" fillId="0" borderId="29" xfId="0" quotePrefix="1" applyFont="1" applyBorder="1" applyAlignment="1">
      <alignment horizontal="justify" vertical="center" shrinkToFit="1"/>
    </xf>
    <xf numFmtId="1" fontId="5" fillId="3" borderId="43" xfId="1" applyNumberFormat="1" applyFont="1" applyFill="1" applyBorder="1" applyAlignment="1">
      <alignment horizontal="right" vertical="center" shrinkToFit="1"/>
    </xf>
    <xf numFmtId="49" fontId="5" fillId="3" borderId="3" xfId="1" applyNumberFormat="1" applyFont="1" applyFill="1" applyBorder="1" applyAlignment="1">
      <alignment horizontal="justify" vertical="center" wrapText="1"/>
    </xf>
    <xf numFmtId="49" fontId="5" fillId="3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justify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right" vertical="center" wrapText="1"/>
    </xf>
    <xf numFmtId="49" fontId="5" fillId="3" borderId="3" xfId="1" applyNumberFormat="1" applyFont="1" applyFill="1" applyBorder="1" applyAlignment="1">
      <alignment horizontal="right" vertical="center" wrapText="1"/>
    </xf>
    <xf numFmtId="49" fontId="5" fillId="0" borderId="65" xfId="1" applyNumberFormat="1" applyFont="1" applyBorder="1" applyAlignment="1">
      <alignment horizontal="center" vertical="center" wrapText="1"/>
    </xf>
    <xf numFmtId="0" fontId="5" fillId="0" borderId="67" xfId="0" quotePrefix="1" applyFont="1" applyBorder="1" applyAlignment="1">
      <alignment horizontal="left" vertical="center" wrapText="1"/>
    </xf>
    <xf numFmtId="49" fontId="5" fillId="0" borderId="65" xfId="1" applyNumberFormat="1" applyFont="1" applyBorder="1" applyAlignment="1">
      <alignment horizontal="right" vertical="center" wrapText="1"/>
    </xf>
    <xf numFmtId="41" fontId="5" fillId="0" borderId="66" xfId="1" applyFont="1" applyBorder="1" applyAlignment="1">
      <alignment horizontal="left" vertical="center" shrinkToFit="1"/>
    </xf>
    <xf numFmtId="41" fontId="4" fillId="0" borderId="49" xfId="1" applyFont="1" applyBorder="1" applyAlignment="1">
      <alignment horizontal="justify" vertical="center" wrapText="1"/>
    </xf>
    <xf numFmtId="0" fontId="5" fillId="0" borderId="67" xfId="1" applyNumberFormat="1" applyFont="1" applyBorder="1" applyAlignment="1">
      <alignment horizontal="right" vertical="center" shrinkToFit="1"/>
    </xf>
    <xf numFmtId="41" fontId="5" fillId="0" borderId="3" xfId="1" applyFont="1" applyBorder="1" applyAlignment="1">
      <alignment horizontal="right" vertical="center" wrapText="1"/>
    </xf>
    <xf numFmtId="177" fontId="5" fillId="0" borderId="43" xfId="1" applyNumberFormat="1" applyFont="1" applyBorder="1" applyAlignment="1">
      <alignment horizontal="right" vertical="center" wrapText="1"/>
    </xf>
    <xf numFmtId="49" fontId="11" fillId="0" borderId="47" xfId="1" applyNumberFormat="1" applyFont="1" applyBorder="1" applyAlignment="1">
      <alignment horizontal="center" vertical="center"/>
    </xf>
    <xf numFmtId="49" fontId="11" fillId="0" borderId="47" xfId="1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4" fillId="0" borderId="60" xfId="0" applyFont="1" applyBorder="1">
      <alignment vertical="center"/>
    </xf>
    <xf numFmtId="0" fontId="14" fillId="0" borderId="79" xfId="0" applyFont="1" applyBorder="1">
      <alignment vertical="center"/>
    </xf>
    <xf numFmtId="0" fontId="13" fillId="0" borderId="18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54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54" xfId="0" applyFont="1" applyBorder="1" applyAlignment="1">
      <alignment horizontal="centerContinuous" vertical="center"/>
    </xf>
    <xf numFmtId="0" fontId="14" fillId="0" borderId="18" xfId="0" applyFont="1" applyBorder="1">
      <alignment vertical="center"/>
    </xf>
    <xf numFmtId="0" fontId="14" fillId="0" borderId="77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68" xfId="0" applyFont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54" xfId="0" applyFont="1" applyBorder="1">
      <alignment vertical="center"/>
    </xf>
    <xf numFmtId="41" fontId="21" fillId="0" borderId="0" xfId="0" applyNumberFormat="1" applyFont="1" applyBorder="1">
      <alignment vertical="center"/>
    </xf>
    <xf numFmtId="0" fontId="21" fillId="0" borderId="54" xfId="0" applyFont="1" applyBorder="1">
      <alignment vertical="center"/>
    </xf>
    <xf numFmtId="0" fontId="21" fillId="0" borderId="77" xfId="0" applyFont="1" applyBorder="1">
      <alignment vertical="center"/>
    </xf>
    <xf numFmtId="0" fontId="21" fillId="0" borderId="49" xfId="0" applyFont="1" applyBorder="1">
      <alignment vertical="center"/>
    </xf>
    <xf numFmtId="0" fontId="21" fillId="0" borderId="68" xfId="0" applyFont="1" applyBorder="1">
      <alignment vertical="center"/>
    </xf>
    <xf numFmtId="41" fontId="5" fillId="0" borderId="25" xfId="1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wrapText="1"/>
    </xf>
    <xf numFmtId="41" fontId="4" fillId="0" borderId="0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41" fontId="4" fillId="0" borderId="56" xfId="1" applyFont="1" applyFill="1" applyBorder="1" applyAlignment="1">
      <alignment horizontal="center" vertical="center" wrapText="1"/>
    </xf>
    <xf numFmtId="41" fontId="4" fillId="0" borderId="19" xfId="1" applyFont="1" applyFill="1" applyBorder="1" applyAlignment="1">
      <alignment horizontal="justify" vertical="center" wrapText="1"/>
    </xf>
    <xf numFmtId="41" fontId="4" fillId="0" borderId="69" xfId="1" applyFont="1" applyFill="1" applyBorder="1" applyAlignment="1">
      <alignment horizontal="left" vertical="center" shrinkToFit="1"/>
    </xf>
    <xf numFmtId="41" fontId="4" fillId="0" borderId="27" xfId="1" applyFont="1" applyFill="1" applyBorder="1" applyAlignment="1">
      <alignment horizontal="justify" vertical="center" wrapText="1"/>
    </xf>
    <xf numFmtId="41" fontId="4" fillId="0" borderId="39" xfId="1" applyFont="1" applyFill="1" applyBorder="1" applyAlignment="1">
      <alignment horizontal="center" vertical="center" shrinkToFit="1"/>
    </xf>
    <xf numFmtId="41" fontId="5" fillId="0" borderId="25" xfId="1" applyFont="1" applyFill="1" applyBorder="1" applyAlignment="1">
      <alignment horizontal="justify" vertical="center" wrapText="1"/>
    </xf>
    <xf numFmtId="41" fontId="4" fillId="0" borderId="28" xfId="1" applyFont="1" applyFill="1" applyBorder="1" applyAlignment="1">
      <alignment horizontal="center" vertical="center" shrinkToFit="1"/>
    </xf>
    <xf numFmtId="41" fontId="5" fillId="0" borderId="27" xfId="1" applyFont="1" applyFill="1" applyBorder="1" applyAlignment="1">
      <alignment horizontal="justify" vertical="center" wrapText="1"/>
    </xf>
    <xf numFmtId="41" fontId="5" fillId="0" borderId="13" xfId="1" applyFont="1" applyBorder="1" applyAlignment="1">
      <alignment vertical="center" shrinkToFit="1"/>
    </xf>
    <xf numFmtId="41" fontId="5" fillId="0" borderId="16" xfId="1" applyFont="1" applyFill="1" applyBorder="1" applyAlignment="1">
      <alignment horizontal="center" vertical="center" shrinkToFit="1"/>
    </xf>
    <xf numFmtId="0" fontId="5" fillId="0" borderId="16" xfId="0" quotePrefix="1" applyFont="1" applyBorder="1" applyAlignment="1">
      <alignment vertical="center" wrapText="1"/>
    </xf>
    <xf numFmtId="41" fontId="5" fillId="0" borderId="82" xfId="1" applyFont="1" applyFill="1" applyBorder="1" applyAlignment="1">
      <alignment horizontal="left" vertical="center" shrinkToFit="1"/>
    </xf>
    <xf numFmtId="41" fontId="5" fillId="0" borderId="12" xfId="1" applyFont="1" applyFill="1" applyBorder="1" applyAlignment="1">
      <alignment horizontal="right" vertical="center" shrinkToFit="1"/>
    </xf>
    <xf numFmtId="0" fontId="5" fillId="0" borderId="16" xfId="0" quotePrefix="1" applyFont="1" applyFill="1" applyBorder="1" applyAlignment="1">
      <alignment horizontal="left" vertical="top" wrapText="1"/>
    </xf>
    <xf numFmtId="0" fontId="4" fillId="0" borderId="59" xfId="0" applyFont="1" applyBorder="1" applyAlignment="1">
      <alignment horizontal="justify" vertical="center" wrapText="1"/>
    </xf>
    <xf numFmtId="41" fontId="5" fillId="0" borderId="26" xfId="1" applyFont="1" applyFill="1" applyBorder="1" applyAlignment="1">
      <alignment horizontal="right" vertical="center" shrinkToFit="1"/>
    </xf>
    <xf numFmtId="0" fontId="4" fillId="0" borderId="42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4" fillId="0" borderId="84" xfId="0" applyFont="1" applyBorder="1" applyAlignment="1">
      <alignment horizontal="justify" vertical="center" wrapText="1"/>
    </xf>
    <xf numFmtId="41" fontId="5" fillId="0" borderId="15" xfId="1" applyFont="1" applyFill="1" applyBorder="1" applyAlignment="1">
      <alignment horizontal="right" vertical="center" shrinkToFit="1"/>
    </xf>
    <xf numFmtId="0" fontId="0" fillId="4" borderId="0" xfId="0" applyFill="1">
      <alignment vertical="center"/>
    </xf>
    <xf numFmtId="0" fontId="5" fillId="0" borderId="29" xfId="1" applyNumberFormat="1" applyFont="1" applyBorder="1" applyAlignment="1">
      <alignment vertical="center" shrinkToFit="1"/>
    </xf>
    <xf numFmtId="0" fontId="5" fillId="0" borderId="29" xfId="1" applyNumberFormat="1" applyFont="1" applyBorder="1" applyAlignment="1">
      <alignment horizontal="justify" vertical="center" shrinkToFit="1"/>
    </xf>
    <xf numFmtId="3" fontId="0" fillId="0" borderId="0" xfId="0" applyNumberFormat="1" applyAlignment="1">
      <alignment vertical="center"/>
    </xf>
    <xf numFmtId="41" fontId="4" fillId="0" borderId="15" xfId="1" applyFont="1" applyFill="1" applyBorder="1" applyAlignment="1">
      <alignment horizontal="right" vertical="center" shrinkToFit="1"/>
    </xf>
    <xf numFmtId="41" fontId="5" fillId="3" borderId="43" xfId="1" applyFont="1" applyFill="1" applyBorder="1" applyAlignment="1">
      <alignment horizontal="right" vertical="center" shrinkToFit="1"/>
    </xf>
    <xf numFmtId="0" fontId="5" fillId="0" borderId="16" xfId="0" applyFont="1" applyBorder="1" applyAlignment="1">
      <alignment horizontal="center" vertical="top" wrapText="1"/>
    </xf>
    <xf numFmtId="41" fontId="4" fillId="4" borderId="53" xfId="1" applyFont="1" applyFill="1" applyBorder="1" applyAlignment="1">
      <alignment horizontal="left" vertical="center" shrinkToFit="1"/>
    </xf>
    <xf numFmtId="41" fontId="4" fillId="4" borderId="16" xfId="1" applyFont="1" applyFill="1" applyBorder="1" applyAlignment="1">
      <alignment horizontal="center" vertical="center" shrinkToFit="1"/>
    </xf>
    <xf numFmtId="41" fontId="4" fillId="0" borderId="85" xfId="1" applyFont="1" applyFill="1" applyBorder="1" applyAlignment="1">
      <alignment horizontal="left" vertical="center" shrinkToFit="1"/>
    </xf>
    <xf numFmtId="41" fontId="5" fillId="0" borderId="28" xfId="1" applyFont="1" applyFill="1" applyBorder="1" applyAlignment="1">
      <alignment horizontal="right" vertical="center" shrinkToFit="1"/>
    </xf>
    <xf numFmtId="41" fontId="4" fillId="0" borderId="83" xfId="1" applyFont="1" applyFill="1" applyBorder="1" applyAlignment="1">
      <alignment horizontal="left" vertical="center" wrapText="1"/>
    </xf>
    <xf numFmtId="41" fontId="5" fillId="0" borderId="86" xfId="1" applyFont="1" applyFill="1" applyBorder="1" applyAlignment="1">
      <alignment horizontal="center" vertical="center" shrinkToFit="1"/>
    </xf>
    <xf numFmtId="41" fontId="5" fillId="0" borderId="83" xfId="1" applyFont="1" applyFill="1" applyBorder="1" applyAlignment="1">
      <alignment horizontal="left" vertical="center" wrapText="1"/>
    </xf>
    <xf numFmtId="41" fontId="5" fillId="0" borderId="0" xfId="1" applyFont="1" applyBorder="1" applyAlignment="1">
      <alignment vertical="center" shrinkToFit="1"/>
    </xf>
    <xf numFmtId="41" fontId="4" fillId="0" borderId="87" xfId="1" applyFont="1" applyFill="1" applyBorder="1" applyAlignment="1">
      <alignment horizontal="left" vertical="center" shrinkToFit="1"/>
    </xf>
    <xf numFmtId="0" fontId="15" fillId="0" borderId="1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3" borderId="72" xfId="0" applyFont="1" applyFill="1" applyBorder="1" applyAlignment="1">
      <alignment horizontal="justify" vertical="center" shrinkToFit="1"/>
    </xf>
    <xf numFmtId="0" fontId="5" fillId="3" borderId="43" xfId="0" applyFont="1" applyFill="1" applyBorder="1" applyAlignment="1">
      <alignment horizontal="justify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justify" vertical="center" shrinkToFit="1"/>
    </xf>
    <xf numFmtId="0" fontId="5" fillId="3" borderId="61" xfId="0" applyFont="1" applyFill="1" applyBorder="1" applyAlignment="1">
      <alignment horizontal="justify" vertical="center" shrinkToFit="1"/>
    </xf>
    <xf numFmtId="41" fontId="5" fillId="0" borderId="60" xfId="1" applyFont="1" applyBorder="1" applyAlignment="1">
      <alignment horizontal="center" vertical="center" wrapText="1"/>
    </xf>
    <xf numFmtId="41" fontId="5" fillId="0" borderId="61" xfId="1" applyFont="1" applyBorder="1" applyAlignment="1">
      <alignment horizontal="center" vertical="center" wrapText="1"/>
    </xf>
    <xf numFmtId="41" fontId="5" fillId="0" borderId="49" xfId="1" applyFont="1" applyBorder="1" applyAlignment="1">
      <alignment horizontal="center" vertical="center" wrapText="1"/>
    </xf>
    <xf numFmtId="41" fontId="5" fillId="0" borderId="50" xfId="1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quotePrefix="1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5" xfId="0" quotePrefix="1" applyFont="1" applyBorder="1" applyAlignment="1">
      <alignment horizontal="center" vertical="top" wrapText="1"/>
    </xf>
    <xf numFmtId="0" fontId="5" fillId="0" borderId="16" xfId="0" quotePrefix="1" applyFont="1" applyBorder="1" applyAlignment="1">
      <alignment horizontal="center" vertical="top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15" xfId="0" quotePrefix="1" applyFont="1" applyFill="1" applyBorder="1" applyAlignment="1">
      <alignment horizontal="left" vertical="top" wrapText="1"/>
    </xf>
    <xf numFmtId="0" fontId="5" fillId="0" borderId="16" xfId="0" quotePrefix="1" applyFont="1" applyFill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 wrapText="1"/>
    </xf>
    <xf numFmtId="0" fontId="5" fillId="0" borderId="3" xfId="0" quotePrefix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 wrapText="1"/>
    </xf>
    <xf numFmtId="41" fontId="5" fillId="0" borderId="6" xfId="1" applyFont="1" applyBorder="1" applyAlignment="1">
      <alignment horizontal="center" vertical="center" wrapText="1"/>
    </xf>
    <xf numFmtId="41" fontId="5" fillId="0" borderId="7" xfId="1" applyFont="1" applyBorder="1" applyAlignment="1">
      <alignment horizontal="center" vertical="center" wrapText="1"/>
    </xf>
    <xf numFmtId="41" fontId="5" fillId="0" borderId="24" xfId="1" applyFont="1" applyBorder="1" applyAlignment="1">
      <alignment horizontal="center" vertical="center" wrapText="1"/>
    </xf>
    <xf numFmtId="41" fontId="5" fillId="0" borderId="19" xfId="1" applyFont="1" applyBorder="1" applyAlignment="1">
      <alignment horizontal="center" vertical="center" wrapText="1"/>
    </xf>
    <xf numFmtId="41" fontId="5" fillId="0" borderId="15" xfId="1" applyFont="1" applyBorder="1" applyAlignment="1">
      <alignment horizontal="center" vertical="center" wrapText="1"/>
    </xf>
    <xf numFmtId="0" fontId="10" fillId="0" borderId="25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right" vertical="center" shrinkToFit="1"/>
    </xf>
    <xf numFmtId="1" fontId="5" fillId="0" borderId="29" xfId="1" applyNumberFormat="1" applyFont="1" applyFill="1" applyBorder="1" applyAlignment="1">
      <alignment horizontal="right" vertical="center" shrinkToFit="1"/>
    </xf>
    <xf numFmtId="1" fontId="5" fillId="0" borderId="25" xfId="1" applyNumberFormat="1" applyFont="1" applyFill="1" applyBorder="1" applyAlignment="1">
      <alignment horizontal="right" vertical="center" shrinkToFit="1"/>
    </xf>
    <xf numFmtId="41" fontId="5" fillId="0" borderId="26" xfId="1" applyFont="1" applyBorder="1" applyAlignment="1">
      <alignment vertical="center" shrinkToFit="1"/>
    </xf>
    <xf numFmtId="41" fontId="5" fillId="0" borderId="83" xfId="1" applyFont="1" applyFill="1" applyBorder="1" applyAlignment="1">
      <alignment horizontal="justify" vertical="center" wrapText="1"/>
    </xf>
    <xf numFmtId="41" fontId="5" fillId="0" borderId="88" xfId="1" applyFont="1" applyFill="1" applyBorder="1" applyAlignment="1">
      <alignment horizontal="righ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A7" sqref="A7"/>
    </sheetView>
  </sheetViews>
  <sheetFormatPr defaultRowHeight="16.5"/>
  <cols>
    <col min="1" max="4" width="9" style="272"/>
    <col min="5" max="5" width="77.375" style="272" customWidth="1"/>
  </cols>
  <sheetData>
    <row r="1" spans="1:5">
      <c r="A1" s="256"/>
      <c r="B1" s="257"/>
      <c r="C1" s="257"/>
      <c r="D1" s="257"/>
      <c r="E1" s="258"/>
    </row>
    <row r="2" spans="1:5">
      <c r="A2" s="259"/>
      <c r="B2" s="260"/>
      <c r="C2" s="260"/>
      <c r="D2" s="260"/>
      <c r="E2" s="261"/>
    </row>
    <row r="3" spans="1:5">
      <c r="A3" s="259"/>
      <c r="B3" s="260"/>
      <c r="C3" s="260"/>
      <c r="D3" s="260"/>
      <c r="E3" s="261"/>
    </row>
    <row r="4" spans="1:5">
      <c r="A4" s="259"/>
      <c r="B4" s="260"/>
      <c r="C4" s="260"/>
      <c r="D4" s="260"/>
      <c r="E4" s="261"/>
    </row>
    <row r="5" spans="1:5" ht="33.75">
      <c r="A5" s="324" t="s">
        <v>271</v>
      </c>
      <c r="B5" s="325"/>
      <c r="C5" s="325"/>
      <c r="D5" s="325"/>
      <c r="E5" s="326"/>
    </row>
    <row r="6" spans="1:5" ht="35.25">
      <c r="A6" s="327" t="s">
        <v>272</v>
      </c>
      <c r="B6" s="328"/>
      <c r="C6" s="328"/>
      <c r="D6" s="328"/>
      <c r="E6" s="329"/>
    </row>
    <row r="7" spans="1:5" ht="27">
      <c r="A7" s="262"/>
      <c r="B7" s="263"/>
      <c r="C7" s="263"/>
      <c r="D7" s="263"/>
      <c r="E7" s="264"/>
    </row>
    <row r="8" spans="1:5" ht="27">
      <c r="A8" s="330"/>
      <c r="B8" s="331"/>
      <c r="C8" s="331"/>
      <c r="D8" s="331"/>
      <c r="E8" s="332"/>
    </row>
    <row r="9" spans="1:5" ht="27">
      <c r="A9" s="262"/>
      <c r="B9" s="263"/>
      <c r="C9" s="263"/>
      <c r="D9" s="263"/>
      <c r="E9" s="264"/>
    </row>
    <row r="10" spans="1:5" ht="27">
      <c r="A10" s="262"/>
      <c r="B10" s="263"/>
      <c r="C10" s="263"/>
      <c r="D10" s="263"/>
      <c r="E10" s="264"/>
    </row>
    <row r="11" spans="1:5" ht="213.75" customHeight="1">
      <c r="A11" s="262"/>
      <c r="B11" s="263"/>
      <c r="C11" s="263"/>
      <c r="D11" s="263"/>
      <c r="E11" s="264"/>
    </row>
    <row r="12" spans="1:5" ht="213.75" customHeight="1">
      <c r="A12" s="265"/>
      <c r="B12" s="266"/>
      <c r="C12" s="266"/>
      <c r="D12" s="266"/>
      <c r="E12" s="267"/>
    </row>
    <row r="13" spans="1:5" ht="213.75" customHeight="1">
      <c r="A13" s="268"/>
      <c r="B13" s="260"/>
      <c r="C13" s="260"/>
      <c r="D13" s="260"/>
      <c r="E13" s="261"/>
    </row>
    <row r="14" spans="1:5">
      <c r="A14" s="268"/>
      <c r="B14" s="260"/>
      <c r="C14" s="260"/>
      <c r="D14" s="260"/>
      <c r="E14" s="261"/>
    </row>
    <row r="15" spans="1:5">
      <c r="A15" s="268"/>
      <c r="B15" s="260"/>
      <c r="C15" s="260"/>
      <c r="D15" s="260"/>
      <c r="E15" s="261"/>
    </row>
    <row r="16" spans="1:5">
      <c r="A16" s="268"/>
      <c r="B16" s="260"/>
      <c r="C16" s="260"/>
      <c r="D16" s="260"/>
      <c r="E16" s="261"/>
    </row>
    <row r="17" spans="1:5">
      <c r="A17" s="268"/>
      <c r="B17" s="260"/>
      <c r="C17" s="260"/>
      <c r="D17" s="260"/>
      <c r="E17" s="261"/>
    </row>
    <row r="18" spans="1:5">
      <c r="A18" s="268"/>
      <c r="B18" s="260"/>
      <c r="C18" s="260"/>
      <c r="D18" s="260"/>
      <c r="E18" s="261"/>
    </row>
    <row r="19" spans="1:5" ht="31.5">
      <c r="A19" s="333" t="s">
        <v>158</v>
      </c>
      <c r="B19" s="334"/>
      <c r="C19" s="334"/>
      <c r="D19" s="334"/>
      <c r="E19" s="335"/>
    </row>
    <row r="20" spans="1:5">
      <c r="A20" s="268"/>
      <c r="B20" s="260"/>
      <c r="C20" s="260"/>
      <c r="D20" s="260"/>
      <c r="E20" s="261"/>
    </row>
    <row r="21" spans="1:5">
      <c r="A21" s="268"/>
      <c r="B21" s="260"/>
      <c r="C21" s="260"/>
      <c r="D21" s="260"/>
      <c r="E21" s="261"/>
    </row>
    <row r="22" spans="1:5" ht="17.25" thickBot="1">
      <c r="A22" s="269"/>
      <c r="B22" s="270"/>
      <c r="C22" s="270"/>
      <c r="D22" s="270"/>
      <c r="E22" s="271"/>
    </row>
  </sheetData>
  <mergeCells count="4">
    <mergeCell ref="A5:E5"/>
    <mergeCell ref="A6:E6"/>
    <mergeCell ref="A8:E8"/>
    <mergeCell ref="A19:E19"/>
  </mergeCells>
  <phoneticPr fontId="6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B5" sqref="B5"/>
    </sheetView>
  </sheetViews>
  <sheetFormatPr defaultRowHeight="17.25"/>
  <cols>
    <col min="1" max="1" width="4.25" style="273" customWidth="1"/>
    <col min="2" max="10" width="9" style="273"/>
    <col min="11" max="11" width="15.25" style="273" bestFit="1" customWidth="1"/>
    <col min="12" max="12" width="4.25" style="273" customWidth="1"/>
  </cols>
  <sheetData>
    <row r="1" spans="1:12" ht="18" thickBot="1"/>
    <row r="2" spans="1:12" ht="106.5" customHeight="1">
      <c r="A2" s="336" t="s">
        <v>159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8"/>
    </row>
    <row r="3" spans="1:12">
      <c r="A3" s="274"/>
      <c r="B3" s="275"/>
      <c r="C3" s="275"/>
      <c r="D3" s="275"/>
      <c r="E3" s="275"/>
      <c r="F3" s="275"/>
      <c r="G3" s="275"/>
      <c r="H3" s="275"/>
      <c r="I3" s="275"/>
      <c r="J3" s="276"/>
      <c r="K3" s="276"/>
      <c r="L3" s="277"/>
    </row>
    <row r="4" spans="1:12" ht="35.25" customHeight="1">
      <c r="A4" s="274"/>
      <c r="B4" s="275" t="s">
        <v>342</v>
      </c>
      <c r="C4" s="275"/>
      <c r="D4" s="275"/>
      <c r="E4" s="275"/>
      <c r="F4" s="275"/>
      <c r="G4" s="275"/>
      <c r="H4" s="275"/>
      <c r="I4" s="275"/>
      <c r="J4" s="275"/>
      <c r="K4" s="278"/>
      <c r="L4" s="279"/>
    </row>
    <row r="5" spans="1:12" ht="35.25" customHeight="1">
      <c r="A5" s="274"/>
      <c r="B5" s="275" t="s">
        <v>160</v>
      </c>
      <c r="C5" s="275"/>
      <c r="D5" s="275"/>
      <c r="E5" s="275"/>
      <c r="F5" s="275"/>
      <c r="G5" s="275"/>
      <c r="H5" s="275"/>
      <c r="I5" s="275"/>
      <c r="J5" s="275"/>
      <c r="K5" s="275"/>
      <c r="L5" s="279"/>
    </row>
    <row r="6" spans="1:12" ht="35.25" customHeight="1">
      <c r="A6" s="274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9"/>
    </row>
    <row r="7" spans="1:12" ht="35.25" customHeight="1">
      <c r="A7" s="274"/>
      <c r="B7" s="275" t="s">
        <v>161</v>
      </c>
      <c r="C7" s="275"/>
      <c r="D7" s="275"/>
      <c r="E7" s="275"/>
      <c r="F7" s="275"/>
      <c r="G7" s="275"/>
      <c r="H7" s="275"/>
      <c r="I7" s="275"/>
      <c r="J7" s="275"/>
      <c r="K7" s="275"/>
      <c r="L7" s="279"/>
    </row>
    <row r="8" spans="1:12" ht="35.25" customHeight="1">
      <c r="A8" s="274"/>
      <c r="B8" s="275" t="s">
        <v>162</v>
      </c>
      <c r="C8" s="275"/>
      <c r="D8" s="275"/>
      <c r="E8" s="275"/>
      <c r="F8" s="275"/>
      <c r="G8" s="275"/>
      <c r="H8" s="275"/>
      <c r="I8" s="275"/>
      <c r="J8" s="275"/>
      <c r="K8" s="275"/>
      <c r="L8" s="279"/>
    </row>
    <row r="9" spans="1:12" ht="35.25" customHeight="1">
      <c r="A9" s="274"/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9"/>
    </row>
    <row r="10" spans="1:12" ht="35.25" customHeight="1">
      <c r="A10" s="274"/>
      <c r="B10" s="275" t="s">
        <v>163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9"/>
    </row>
    <row r="11" spans="1:12" ht="35.25" customHeight="1">
      <c r="A11" s="274"/>
      <c r="B11" s="275" t="s">
        <v>164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9"/>
    </row>
    <row r="12" spans="1:12" ht="35.25" customHeight="1">
      <c r="A12" s="274"/>
      <c r="B12" s="275" t="s">
        <v>165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9"/>
    </row>
    <row r="13" spans="1:12" ht="35.25" customHeight="1">
      <c r="A13" s="274"/>
      <c r="B13" s="275" t="s">
        <v>166</v>
      </c>
      <c r="C13" s="275"/>
      <c r="D13" s="275"/>
      <c r="E13" s="275"/>
      <c r="F13" s="275"/>
      <c r="G13" s="275"/>
      <c r="H13" s="275"/>
      <c r="I13" s="275"/>
      <c r="J13" s="275"/>
      <c r="K13" s="275"/>
      <c r="L13" s="279"/>
    </row>
    <row r="14" spans="1:12" ht="35.25" customHeight="1">
      <c r="A14" s="274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9"/>
    </row>
    <row r="15" spans="1:12" ht="35.25" customHeight="1">
      <c r="A15" s="274"/>
      <c r="B15" s="275" t="s">
        <v>167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279"/>
    </row>
    <row r="16" spans="1:12" ht="35.25" customHeight="1">
      <c r="A16" s="274"/>
      <c r="B16" s="275" t="s">
        <v>168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9"/>
    </row>
    <row r="17" spans="1:12" ht="35.25" customHeight="1">
      <c r="A17" s="274"/>
      <c r="B17" s="275" t="s">
        <v>169</v>
      </c>
      <c r="C17" s="275"/>
      <c r="D17" s="275"/>
      <c r="E17" s="275"/>
      <c r="F17" s="275"/>
      <c r="G17" s="275"/>
      <c r="H17" s="275"/>
      <c r="I17" s="275"/>
      <c r="J17" s="275"/>
      <c r="K17" s="275"/>
      <c r="L17" s="279"/>
    </row>
    <row r="18" spans="1:12" ht="35.25" customHeight="1">
      <c r="A18" s="274"/>
      <c r="B18" s="275" t="s">
        <v>170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9"/>
    </row>
    <row r="19" spans="1:12" ht="35.25" customHeight="1">
      <c r="A19" s="274"/>
      <c r="B19" s="275" t="s">
        <v>171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9"/>
    </row>
    <row r="20" spans="1:12" ht="35.25" customHeight="1" thickBot="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2"/>
    </row>
    <row r="21" spans="1:12" ht="35.25" customHeight="1">
      <c r="A21" s="339"/>
      <c r="B21" s="339"/>
      <c r="C21" s="339"/>
      <c r="D21" s="339"/>
      <c r="E21" s="339"/>
      <c r="F21" s="339"/>
      <c r="G21" s="339"/>
      <c r="H21" s="339"/>
      <c r="I21" s="339"/>
    </row>
    <row r="22" spans="1:12" ht="35.25" customHeight="1">
      <c r="A22" s="276"/>
      <c r="B22" s="276"/>
      <c r="C22" s="276"/>
      <c r="D22" s="276"/>
      <c r="E22" s="276"/>
      <c r="F22" s="276"/>
      <c r="G22" s="276"/>
      <c r="H22" s="276"/>
      <c r="I22" s="276"/>
    </row>
    <row r="23" spans="1:12" ht="35.25" customHeight="1">
      <c r="A23" s="276"/>
      <c r="B23" s="276"/>
      <c r="C23" s="276"/>
      <c r="D23" s="276"/>
      <c r="E23" s="276"/>
      <c r="F23" s="276"/>
      <c r="G23" s="276"/>
      <c r="H23" s="276"/>
      <c r="I23" s="276"/>
    </row>
    <row r="24" spans="1:12" ht="35.25" customHeight="1"/>
    <row r="25" spans="1:12" ht="35.25" customHeight="1"/>
    <row r="26" spans="1:12" ht="35.25" customHeight="1"/>
    <row r="27" spans="1:12" ht="35.25" customHeight="1"/>
    <row r="28" spans="1:12" ht="35.25" customHeight="1"/>
    <row r="29" spans="1:12" ht="35.25" customHeight="1"/>
  </sheetData>
  <mergeCells count="2">
    <mergeCell ref="A2:L2"/>
    <mergeCell ref="A21:I21"/>
  </mergeCells>
  <phoneticPr fontId="6" type="noConversion"/>
  <pageMargins left="0.7" right="0.7" top="0.75" bottom="0.75" header="0.3" footer="0.3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87"/>
  <sheetViews>
    <sheetView zoomScale="145" zoomScaleNormal="14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3" sqref="F13"/>
    </sheetView>
  </sheetViews>
  <sheetFormatPr defaultRowHeight="16.5"/>
  <cols>
    <col min="1" max="1" width="1.5" customWidth="1"/>
    <col min="2" max="2" width="14.5" customWidth="1"/>
    <col min="3" max="3" width="11.125" style="1" customWidth="1"/>
    <col min="4" max="4" width="0" style="1" hidden="1" customWidth="1"/>
    <col min="5" max="5" width="11.75" style="3" customWidth="1"/>
    <col min="6" max="6" width="10.875" style="3" customWidth="1"/>
    <col min="7" max="7" width="25" style="27" customWidth="1"/>
    <col min="8" max="8" width="2.125" style="27" customWidth="1"/>
    <col min="9" max="9" width="15.875" style="27" bestFit="1" customWidth="1"/>
    <col min="10" max="10" width="3.125" customWidth="1"/>
  </cols>
  <sheetData>
    <row r="1" spans="1:12" ht="33" customHeight="1">
      <c r="A1" s="344" t="s">
        <v>273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2" ht="19.5" customHeight="1">
      <c r="A2" s="345" t="s">
        <v>339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2" ht="18.75">
      <c r="A3" s="346" t="s">
        <v>0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2" ht="17.25" thickBot="1">
      <c r="A4" s="347" t="s">
        <v>340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2" ht="22.5">
      <c r="A5" s="348" t="s">
        <v>1</v>
      </c>
      <c r="B5" s="349"/>
      <c r="C5" s="33" t="s">
        <v>2</v>
      </c>
      <c r="D5" s="33" t="s">
        <v>4</v>
      </c>
      <c r="E5" s="33" t="s">
        <v>6</v>
      </c>
      <c r="F5" s="145" t="s">
        <v>8</v>
      </c>
      <c r="G5" s="356" t="s">
        <v>29</v>
      </c>
      <c r="H5" s="356"/>
      <c r="I5" s="357"/>
      <c r="J5" s="352" t="s">
        <v>10</v>
      </c>
    </row>
    <row r="6" spans="1:12" ht="17.25" thickBot="1">
      <c r="A6" s="350"/>
      <c r="B6" s="351"/>
      <c r="C6" s="28" t="s">
        <v>3</v>
      </c>
      <c r="D6" s="28" t="s">
        <v>5</v>
      </c>
      <c r="E6" s="28" t="s">
        <v>7</v>
      </c>
      <c r="F6" s="28" t="s">
        <v>9</v>
      </c>
      <c r="G6" s="358"/>
      <c r="H6" s="358"/>
      <c r="I6" s="359"/>
      <c r="J6" s="353"/>
    </row>
    <row r="7" spans="1:12">
      <c r="A7" s="340" t="s">
        <v>11</v>
      </c>
      <c r="B7" s="341"/>
      <c r="C7" s="154">
        <f>C9+C12+C18</f>
        <v>5185833</v>
      </c>
      <c r="D7" s="153">
        <v>0</v>
      </c>
      <c r="E7" s="154">
        <f>E9+E12+E16+E18</f>
        <v>5935010</v>
      </c>
      <c r="F7" s="154">
        <f>E7-C7</f>
        <v>749177</v>
      </c>
      <c r="G7" s="156"/>
      <c r="H7" s="156"/>
      <c r="I7" s="157"/>
      <c r="J7" s="158"/>
    </row>
    <row r="8" spans="1:12">
      <c r="A8" s="159"/>
      <c r="B8" s="160"/>
      <c r="C8" s="241"/>
      <c r="D8" s="241"/>
      <c r="E8" s="241"/>
      <c r="F8" s="241"/>
      <c r="G8" s="151"/>
      <c r="H8" s="151"/>
      <c r="I8" s="151"/>
      <c r="J8" s="152"/>
    </row>
    <row r="9" spans="1:12">
      <c r="A9" s="60"/>
      <c r="B9" s="61" t="s">
        <v>58</v>
      </c>
      <c r="C9" s="70">
        <v>250000</v>
      </c>
      <c r="D9" s="146"/>
      <c r="E9" s="70">
        <f>I9</f>
        <v>420000</v>
      </c>
      <c r="F9" s="71">
        <f>E9-C9</f>
        <v>170000</v>
      </c>
      <c r="G9" s="95" t="s">
        <v>57</v>
      </c>
      <c r="H9" s="96"/>
      <c r="I9" s="97">
        <f>SUM(I10:I11)</f>
        <v>420000</v>
      </c>
      <c r="J9" s="32"/>
    </row>
    <row r="10" spans="1:12">
      <c r="A10" s="62"/>
      <c r="B10" s="77"/>
      <c r="C10" s="244"/>
      <c r="D10" s="244"/>
      <c r="E10" s="244"/>
      <c r="F10" s="244"/>
      <c r="G10" s="47" t="s">
        <v>336</v>
      </c>
      <c r="H10" s="98" t="s">
        <v>34</v>
      </c>
      <c r="I10" s="150">
        <f>30000*6</f>
        <v>180000</v>
      </c>
      <c r="J10" s="34"/>
    </row>
    <row r="11" spans="1:12">
      <c r="A11" s="62"/>
      <c r="B11" s="63"/>
      <c r="C11" s="72"/>
      <c r="D11" s="147"/>
      <c r="E11" s="72"/>
      <c r="F11" s="73"/>
      <c r="G11" s="51" t="s">
        <v>337</v>
      </c>
      <c r="H11" s="100" t="s">
        <v>34</v>
      </c>
      <c r="I11" s="101">
        <f>30000*8</f>
        <v>240000</v>
      </c>
      <c r="J11" s="34"/>
    </row>
    <row r="12" spans="1:12">
      <c r="A12" s="62"/>
      <c r="B12" s="61" t="s">
        <v>59</v>
      </c>
      <c r="C12" s="70">
        <v>2776200</v>
      </c>
      <c r="D12" s="146"/>
      <c r="E12" s="70">
        <f>I12</f>
        <v>3202500</v>
      </c>
      <c r="F12" s="71">
        <f>E12-C12</f>
        <v>426300</v>
      </c>
      <c r="G12" s="102" t="s">
        <v>63</v>
      </c>
      <c r="H12" s="103"/>
      <c r="I12" s="104">
        <f>SUM(I13:I14)</f>
        <v>3202500</v>
      </c>
      <c r="J12" s="32"/>
    </row>
    <row r="13" spans="1:12">
      <c r="A13" s="62"/>
      <c r="B13" s="63"/>
      <c r="C13" s="243"/>
      <c r="D13" s="243"/>
      <c r="E13" s="243"/>
      <c r="F13" s="243"/>
      <c r="G13" s="47" t="s">
        <v>312</v>
      </c>
      <c r="H13" s="98" t="s">
        <v>34</v>
      </c>
      <c r="I13" s="99">
        <f>18900*20*4</f>
        <v>1512000</v>
      </c>
      <c r="J13" s="34"/>
    </row>
    <row r="14" spans="1:12">
      <c r="A14" s="62"/>
      <c r="B14" s="63"/>
      <c r="C14" s="72"/>
      <c r="D14" s="147"/>
      <c r="E14" s="72"/>
      <c r="F14" s="74"/>
      <c r="G14" s="51" t="s">
        <v>313</v>
      </c>
      <c r="H14" s="100" t="s">
        <v>34</v>
      </c>
      <c r="I14" s="101">
        <f>12075*35*4</f>
        <v>1690500</v>
      </c>
      <c r="J14" s="76"/>
      <c r="K14" s="308"/>
      <c r="L14" s="308"/>
    </row>
    <row r="15" spans="1:12">
      <c r="A15" s="62"/>
      <c r="B15" s="63"/>
      <c r="C15" s="72"/>
      <c r="D15" s="147"/>
      <c r="E15" s="72"/>
      <c r="F15" s="74"/>
      <c r="G15" s="102" t="s">
        <v>62</v>
      </c>
      <c r="H15" s="103"/>
      <c r="I15" s="209">
        <v>0</v>
      </c>
      <c r="J15" s="32"/>
    </row>
    <row r="16" spans="1:12">
      <c r="A16" s="62"/>
      <c r="B16" s="61" t="s">
        <v>60</v>
      </c>
      <c r="C16" s="237">
        <v>0</v>
      </c>
      <c r="D16" s="237">
        <v>0</v>
      </c>
      <c r="E16" s="70">
        <f>I16</f>
        <v>0</v>
      </c>
      <c r="F16" s="71">
        <f>E16-C16</f>
        <v>0</v>
      </c>
      <c r="G16" s="102" t="s">
        <v>90</v>
      </c>
      <c r="H16" s="161"/>
      <c r="I16" s="209">
        <v>0</v>
      </c>
      <c r="J16" s="32"/>
    </row>
    <row r="17" spans="1:10">
      <c r="A17" s="62"/>
      <c r="B17" s="78"/>
      <c r="C17" s="244"/>
      <c r="D17" s="244"/>
      <c r="E17" s="244"/>
      <c r="F17" s="244"/>
      <c r="G17" s="162"/>
      <c r="H17" s="100"/>
      <c r="I17" s="101"/>
      <c r="J17" s="163"/>
    </row>
    <row r="18" spans="1:10">
      <c r="A18" s="62"/>
      <c r="B18" s="61" t="s">
        <v>61</v>
      </c>
      <c r="C18" s="70">
        <v>2159633</v>
      </c>
      <c r="D18" s="146"/>
      <c r="E18" s="70">
        <f>I18+I23+I27+I31</f>
        <v>2312510</v>
      </c>
      <c r="F18" s="71">
        <f>E18-C18</f>
        <v>152877</v>
      </c>
      <c r="G18" s="105" t="s">
        <v>84</v>
      </c>
      <c r="H18" s="106"/>
      <c r="I18" s="107">
        <f>SUM(I19:I22)</f>
        <v>1217450</v>
      </c>
      <c r="J18" s="58"/>
    </row>
    <row r="19" spans="1:10">
      <c r="A19" s="62"/>
      <c r="B19" s="64"/>
      <c r="C19" s="243"/>
      <c r="D19" s="243"/>
      <c r="E19" s="243"/>
      <c r="F19" s="243"/>
      <c r="G19" s="108" t="s">
        <v>330</v>
      </c>
      <c r="H19" s="98" t="s">
        <v>27</v>
      </c>
      <c r="I19" s="109">
        <f>110*50*181</f>
        <v>995500</v>
      </c>
      <c r="J19" s="59"/>
    </row>
    <row r="20" spans="1:10">
      <c r="A20" s="62"/>
      <c r="B20" s="64"/>
      <c r="C20" s="72"/>
      <c r="D20" s="147"/>
      <c r="E20" s="72"/>
      <c r="F20" s="72"/>
      <c r="G20" s="108" t="s">
        <v>331</v>
      </c>
      <c r="H20" s="98" t="s">
        <v>27</v>
      </c>
      <c r="I20" s="109">
        <f>110*5*181</f>
        <v>99550</v>
      </c>
      <c r="J20" s="59"/>
    </row>
    <row r="21" spans="1:10">
      <c r="A21" s="62"/>
      <c r="B21" s="64"/>
      <c r="C21" s="72"/>
      <c r="D21" s="147"/>
      <c r="E21" s="72"/>
      <c r="F21" s="72"/>
      <c r="G21" s="108" t="s">
        <v>310</v>
      </c>
      <c r="H21" s="98" t="s">
        <v>27</v>
      </c>
      <c r="I21" s="109">
        <f>16*20*180</f>
        <v>57600</v>
      </c>
      <c r="J21" s="59"/>
    </row>
    <row r="22" spans="1:10">
      <c r="A22" s="62"/>
      <c r="B22" s="64"/>
      <c r="C22" s="72"/>
      <c r="D22" s="147"/>
      <c r="E22" s="72"/>
      <c r="F22" s="72"/>
      <c r="G22" s="110" t="s">
        <v>311</v>
      </c>
      <c r="H22" s="100" t="s">
        <v>27</v>
      </c>
      <c r="I22" s="109">
        <f>18*20*180</f>
        <v>64800</v>
      </c>
      <c r="J22" s="59"/>
    </row>
    <row r="23" spans="1:10" s="124" customFormat="1">
      <c r="A23" s="123"/>
      <c r="B23" s="132"/>
      <c r="C23" s="133"/>
      <c r="D23" s="148"/>
      <c r="E23" s="133"/>
      <c r="F23" s="133"/>
      <c r="G23" s="105" t="s">
        <v>83</v>
      </c>
      <c r="H23" s="106"/>
      <c r="I23" s="107">
        <f>SUM(I24:I26)</f>
        <v>45844</v>
      </c>
      <c r="J23" s="136"/>
    </row>
    <row r="24" spans="1:10" s="124" customFormat="1">
      <c r="A24" s="123"/>
      <c r="B24" s="132"/>
      <c r="C24" s="133"/>
      <c r="D24" s="148"/>
      <c r="E24" s="133"/>
      <c r="F24" s="133"/>
      <c r="G24" s="108"/>
      <c r="H24" s="98" t="s">
        <v>27</v>
      </c>
      <c r="I24" s="109">
        <v>0</v>
      </c>
      <c r="J24" s="134"/>
    </row>
    <row r="25" spans="1:10" s="124" customFormat="1">
      <c r="A25" s="123"/>
      <c r="B25" s="132"/>
      <c r="C25" s="133"/>
      <c r="D25" s="148"/>
      <c r="E25" s="133"/>
      <c r="F25" s="133"/>
      <c r="G25" s="108"/>
      <c r="H25" s="98" t="s">
        <v>27</v>
      </c>
      <c r="I25" s="109">
        <v>0</v>
      </c>
      <c r="J25" s="134"/>
    </row>
    <row r="26" spans="1:10" s="124" customFormat="1">
      <c r="A26" s="123"/>
      <c r="B26" s="132"/>
      <c r="C26" s="133"/>
      <c r="D26" s="148"/>
      <c r="E26" s="133"/>
      <c r="F26" s="133"/>
      <c r="G26" s="110" t="s">
        <v>328</v>
      </c>
      <c r="H26" s="100" t="s">
        <v>27</v>
      </c>
      <c r="I26" s="101">
        <f>11461*4</f>
        <v>45844</v>
      </c>
      <c r="J26" s="135"/>
    </row>
    <row r="27" spans="1:10">
      <c r="A27" s="62"/>
      <c r="B27" s="64"/>
      <c r="C27" s="72"/>
      <c r="D27" s="147"/>
      <c r="E27" s="72"/>
      <c r="F27" s="72"/>
      <c r="G27" s="105" t="s">
        <v>85</v>
      </c>
      <c r="H27" s="106"/>
      <c r="I27" s="107">
        <f>SUM(I28:I30)</f>
        <v>454400</v>
      </c>
      <c r="J27" s="136"/>
    </row>
    <row r="28" spans="1:10">
      <c r="A28" s="62"/>
      <c r="B28" s="64"/>
      <c r="C28" s="72"/>
      <c r="D28" s="147"/>
      <c r="E28" s="72"/>
      <c r="F28" s="72"/>
      <c r="G28" s="108" t="s">
        <v>233</v>
      </c>
      <c r="H28" s="98" t="s">
        <v>27</v>
      </c>
      <c r="I28" s="109">
        <v>422400</v>
      </c>
      <c r="J28" s="134"/>
    </row>
    <row r="29" spans="1:10">
      <c r="A29" s="62"/>
      <c r="B29" s="64"/>
      <c r="C29" s="72"/>
      <c r="D29" s="147"/>
      <c r="E29" s="72"/>
      <c r="F29" s="72"/>
      <c r="G29" s="47" t="s">
        <v>255</v>
      </c>
      <c r="H29" s="48" t="s">
        <v>27</v>
      </c>
      <c r="I29" s="49">
        <v>32000</v>
      </c>
      <c r="J29" s="134"/>
    </row>
    <row r="30" spans="1:10" s="124" customFormat="1">
      <c r="A30" s="123"/>
      <c r="B30" s="132"/>
      <c r="C30" s="133"/>
      <c r="D30" s="148"/>
      <c r="E30" s="133"/>
      <c r="F30" s="133"/>
      <c r="G30" s="110"/>
      <c r="H30" s="100"/>
      <c r="I30" s="101"/>
      <c r="J30" s="135"/>
    </row>
    <row r="31" spans="1:10">
      <c r="A31" s="62"/>
      <c r="B31" s="64"/>
      <c r="C31" s="72"/>
      <c r="D31" s="147"/>
      <c r="E31" s="72"/>
      <c r="F31" s="72"/>
      <c r="G31" s="105" t="s">
        <v>92</v>
      </c>
      <c r="H31" s="106"/>
      <c r="I31" s="107">
        <f>SUM(I32:I34)</f>
        <v>594816</v>
      </c>
      <c r="J31" s="58"/>
    </row>
    <row r="32" spans="1:10">
      <c r="A32" s="62"/>
      <c r="B32" s="64"/>
      <c r="C32" s="72"/>
      <c r="D32" s="147"/>
      <c r="E32" s="72"/>
      <c r="F32" s="72"/>
      <c r="G32" s="108" t="s">
        <v>314</v>
      </c>
      <c r="H32" s="98" t="s">
        <v>27</v>
      </c>
      <c r="I32" s="109">
        <f>314*10*182</f>
        <v>571480</v>
      </c>
      <c r="J32" s="59"/>
    </row>
    <row r="33" spans="1:10">
      <c r="A33" s="62"/>
      <c r="B33" s="64"/>
      <c r="C33" s="72"/>
      <c r="D33" s="147"/>
      <c r="E33" s="72"/>
      <c r="F33" s="72"/>
      <c r="G33" s="108" t="s">
        <v>320</v>
      </c>
      <c r="H33" s="98" t="s">
        <v>27</v>
      </c>
      <c r="I33" s="109">
        <f>2917*4</f>
        <v>11668</v>
      </c>
      <c r="J33" s="59"/>
    </row>
    <row r="34" spans="1:10" ht="17.25" thickBot="1">
      <c r="A34" s="62"/>
      <c r="B34" s="64"/>
      <c r="C34" s="72"/>
      <c r="D34" s="147"/>
      <c r="E34" s="72"/>
      <c r="F34" s="72"/>
      <c r="G34" s="108" t="s">
        <v>322</v>
      </c>
      <c r="H34" s="100" t="s">
        <v>27</v>
      </c>
      <c r="I34" s="109">
        <f>2917*4</f>
        <v>11668</v>
      </c>
      <c r="J34" s="59"/>
    </row>
    <row r="35" spans="1:10">
      <c r="A35" s="354" t="s">
        <v>13</v>
      </c>
      <c r="B35" s="355"/>
      <c r="C35" s="154">
        <f>SUM(C37:C52)</f>
        <v>9733400</v>
      </c>
      <c r="D35" s="153">
        <v>0</v>
      </c>
      <c r="E35" s="154">
        <f>SUM(E37,E39,E41,E46,E48,E44,E50)</f>
        <v>10238266</v>
      </c>
      <c r="F35" s="154">
        <f>F37+F39+F41+F44+F46+F48+F50</f>
        <v>504866</v>
      </c>
      <c r="G35" s="155"/>
      <c r="H35" s="156"/>
      <c r="I35" s="157"/>
      <c r="J35" s="158"/>
    </row>
    <row r="36" spans="1:10">
      <c r="A36" s="159"/>
      <c r="B36" s="160"/>
      <c r="C36" s="241"/>
      <c r="D36" s="241"/>
      <c r="E36" s="241"/>
      <c r="F36" s="241"/>
      <c r="G36" s="29"/>
      <c r="H36" s="30"/>
      <c r="I36" s="31"/>
      <c r="J36" s="35"/>
    </row>
    <row r="37" spans="1:10" ht="22.5">
      <c r="A37" s="60"/>
      <c r="B37" s="61" t="s">
        <v>64</v>
      </c>
      <c r="C37" s="70">
        <v>4898332</v>
      </c>
      <c r="D37" s="146"/>
      <c r="E37" s="70">
        <f>I37</f>
        <v>4995454</v>
      </c>
      <c r="F37" s="71">
        <f>E37-C37</f>
        <v>97122</v>
      </c>
      <c r="G37" s="105" t="s">
        <v>121</v>
      </c>
      <c r="H37" s="106"/>
      <c r="I37" s="107">
        <f>SUM(I38)</f>
        <v>4995454</v>
      </c>
      <c r="J37" s="32"/>
    </row>
    <row r="38" spans="1:10">
      <c r="A38" s="62"/>
      <c r="B38" s="78"/>
      <c r="C38" s="243"/>
      <c r="D38" s="243"/>
      <c r="E38" s="243"/>
      <c r="F38" s="243"/>
      <c r="G38" s="108" t="s">
        <v>334</v>
      </c>
      <c r="H38" s="98" t="s">
        <v>27</v>
      </c>
      <c r="I38" s="109">
        <f>4995454</f>
        <v>4995454</v>
      </c>
      <c r="J38" s="34"/>
    </row>
    <row r="39" spans="1:10">
      <c r="A39" s="62"/>
      <c r="B39" s="61" t="s">
        <v>65</v>
      </c>
      <c r="C39" s="70">
        <v>4254155</v>
      </c>
      <c r="D39" s="146"/>
      <c r="E39" s="70">
        <f>I39</f>
        <v>4387984</v>
      </c>
      <c r="F39" s="71">
        <f>E39-C39</f>
        <v>133829</v>
      </c>
      <c r="G39" s="105" t="s">
        <v>94</v>
      </c>
      <c r="H39" s="106"/>
      <c r="I39" s="107">
        <f>SUM(I40)</f>
        <v>4387984</v>
      </c>
      <c r="J39" s="32"/>
    </row>
    <row r="40" spans="1:10">
      <c r="A40" s="62"/>
      <c r="B40" s="78"/>
      <c r="C40" s="243"/>
      <c r="D40" s="243"/>
      <c r="E40" s="243"/>
      <c r="F40" s="243"/>
      <c r="G40" s="108" t="s">
        <v>335</v>
      </c>
      <c r="H40" s="98" t="s">
        <v>27</v>
      </c>
      <c r="I40" s="109">
        <f>4387984</f>
        <v>4387984</v>
      </c>
      <c r="J40" s="34"/>
    </row>
    <row r="41" spans="1:10">
      <c r="A41" s="62"/>
      <c r="B41" s="61" t="s">
        <v>66</v>
      </c>
      <c r="C41" s="70">
        <v>118767</v>
      </c>
      <c r="D41" s="146"/>
      <c r="E41" s="70">
        <f>I41</f>
        <v>43167</v>
      </c>
      <c r="F41" s="71">
        <f>E41-C41</f>
        <v>-75600</v>
      </c>
      <c r="G41" s="105" t="s">
        <v>93</v>
      </c>
      <c r="H41" s="106"/>
      <c r="I41" s="107">
        <f>SUM(I42:I43)</f>
        <v>43167</v>
      </c>
      <c r="J41" s="32"/>
    </row>
    <row r="42" spans="1:10">
      <c r="A42" s="62"/>
      <c r="B42" s="77"/>
      <c r="C42" s="244"/>
      <c r="D42" s="244"/>
      <c r="E42" s="244"/>
      <c r="F42" s="244"/>
      <c r="G42" s="108" t="s">
        <v>232</v>
      </c>
      <c r="H42" s="98" t="s">
        <v>27</v>
      </c>
      <c r="I42" s="109">
        <f>43167*1</f>
        <v>43167</v>
      </c>
      <c r="J42" s="34"/>
    </row>
    <row r="43" spans="1:10">
      <c r="A43" s="62"/>
      <c r="B43" s="77"/>
      <c r="C43" s="244"/>
      <c r="D43" s="244"/>
      <c r="E43" s="244"/>
      <c r="F43" s="244"/>
      <c r="G43" s="108"/>
      <c r="H43" s="98" t="s">
        <v>27</v>
      </c>
      <c r="I43" s="109"/>
      <c r="J43" s="34"/>
    </row>
    <row r="44" spans="1:10" s="124" customFormat="1" ht="16.5" customHeight="1">
      <c r="A44" s="123"/>
      <c r="B44" s="168" t="s">
        <v>67</v>
      </c>
      <c r="C44" s="237">
        <v>0</v>
      </c>
      <c r="D44" s="237">
        <v>0</v>
      </c>
      <c r="E44" s="70">
        <f>I44</f>
        <v>79461</v>
      </c>
      <c r="F44" s="71">
        <f>E44-C44</f>
        <v>79461</v>
      </c>
      <c r="G44" s="105" t="s">
        <v>108</v>
      </c>
      <c r="H44" s="161"/>
      <c r="I44" s="307">
        <f>I45</f>
        <v>79461</v>
      </c>
      <c r="J44" s="165"/>
    </row>
    <row r="45" spans="1:10" s="124" customFormat="1" ht="16.5" customHeight="1">
      <c r="A45" s="123"/>
      <c r="B45" s="169"/>
      <c r="C45" s="244"/>
      <c r="D45" s="244"/>
      <c r="E45" s="244"/>
      <c r="F45" s="244"/>
      <c r="G45" s="108" t="s">
        <v>256</v>
      </c>
      <c r="H45" s="100"/>
      <c r="I45" s="101">
        <f>79461</f>
        <v>79461</v>
      </c>
      <c r="J45" s="170"/>
    </row>
    <row r="46" spans="1:10" s="124" customFormat="1" ht="16.5" customHeight="1">
      <c r="A46" s="123"/>
      <c r="B46" s="171" t="s">
        <v>68</v>
      </c>
      <c r="C46" s="300">
        <v>37146</v>
      </c>
      <c r="D46" s="237">
        <v>0</v>
      </c>
      <c r="E46" s="70">
        <f>I46</f>
        <v>0</v>
      </c>
      <c r="F46" s="71">
        <f>E46-C46</f>
        <v>-37146</v>
      </c>
      <c r="G46" s="164" t="s">
        <v>109</v>
      </c>
      <c r="H46" s="106"/>
      <c r="I46" s="107">
        <f>SUM(I47)</f>
        <v>0</v>
      </c>
      <c r="J46" s="165"/>
    </row>
    <row r="47" spans="1:10" s="124" customFormat="1" ht="16.5" customHeight="1">
      <c r="A47" s="123"/>
      <c r="B47" s="172"/>
      <c r="C47" s="244"/>
      <c r="D47" s="244"/>
      <c r="E47" s="244"/>
      <c r="F47" s="244"/>
      <c r="G47" s="108" t="s">
        <v>189</v>
      </c>
      <c r="H47" s="98" t="s">
        <v>190</v>
      </c>
      <c r="I47" s="109">
        <v>0</v>
      </c>
      <c r="J47" s="170"/>
    </row>
    <row r="48" spans="1:10" s="124" customFormat="1" ht="16.5" customHeight="1">
      <c r="A48" s="123"/>
      <c r="B48" s="171" t="s">
        <v>69</v>
      </c>
      <c r="C48" s="237">
        <v>0</v>
      </c>
      <c r="D48" s="237"/>
      <c r="E48" s="70">
        <f>I48</f>
        <v>0</v>
      </c>
      <c r="F48" s="71">
        <f>E48-C48</f>
        <v>0</v>
      </c>
      <c r="G48" s="164" t="s">
        <v>110</v>
      </c>
      <c r="H48" s="161"/>
      <c r="I48" s="209">
        <v>0</v>
      </c>
      <c r="J48" s="165"/>
    </row>
    <row r="49" spans="1:10" s="124" customFormat="1" ht="16.5" customHeight="1">
      <c r="A49" s="123"/>
      <c r="B49" s="172"/>
      <c r="C49" s="244"/>
      <c r="D49" s="244"/>
      <c r="E49" s="244"/>
      <c r="F49" s="244"/>
      <c r="G49" s="173"/>
      <c r="H49" s="100"/>
      <c r="I49" s="101"/>
      <c r="J49" s="170"/>
    </row>
    <row r="50" spans="1:10" s="124" customFormat="1" ht="16.5" customHeight="1">
      <c r="A50" s="123"/>
      <c r="B50" s="387" t="s">
        <v>122</v>
      </c>
      <c r="C50" s="303">
        <v>425000</v>
      </c>
      <c r="D50" s="390">
        <v>0</v>
      </c>
      <c r="E50" s="391">
        <f>I50</f>
        <v>732200</v>
      </c>
      <c r="F50" s="71">
        <f>E50-C50</f>
        <v>307200</v>
      </c>
      <c r="G50" s="164" t="s">
        <v>111</v>
      </c>
      <c r="H50" s="106"/>
      <c r="I50" s="107">
        <f>SUM(I51:I52)</f>
        <v>732200</v>
      </c>
      <c r="J50" s="165"/>
    </row>
    <row r="51" spans="1:10" s="124" customFormat="1" ht="16.5" customHeight="1">
      <c r="A51" s="123"/>
      <c r="B51" s="166"/>
      <c r="C51" s="388"/>
      <c r="D51" s="389"/>
      <c r="E51" s="72"/>
      <c r="F51" s="73"/>
      <c r="G51" s="108" t="s">
        <v>341</v>
      </c>
      <c r="H51" s="98" t="s">
        <v>27</v>
      </c>
      <c r="I51" s="109">
        <v>260000</v>
      </c>
      <c r="J51" s="167"/>
    </row>
    <row r="52" spans="1:10" s="124" customFormat="1" ht="16.5" customHeight="1" thickBot="1">
      <c r="A52" s="123"/>
      <c r="B52" s="166"/>
      <c r="C52" s="244"/>
      <c r="D52" s="244"/>
      <c r="E52" s="244"/>
      <c r="F52" s="244"/>
      <c r="G52" s="108" t="s">
        <v>183</v>
      </c>
      <c r="H52" s="98" t="s">
        <v>180</v>
      </c>
      <c r="I52" s="109">
        <f>425000+47200</f>
        <v>472200</v>
      </c>
      <c r="J52" s="167"/>
    </row>
    <row r="53" spans="1:10">
      <c r="A53" s="340" t="s">
        <v>15</v>
      </c>
      <c r="B53" s="341"/>
      <c r="C53" s="154">
        <f>SUM(C55+C59)</f>
        <v>26300</v>
      </c>
      <c r="D53" s="153">
        <v>0</v>
      </c>
      <c r="E53" s="154">
        <f>E55+E59</f>
        <v>68000</v>
      </c>
      <c r="F53" s="154">
        <f>SUM(F55,F59)</f>
        <v>41700</v>
      </c>
      <c r="G53" s="155"/>
      <c r="H53" s="156"/>
      <c r="I53" s="157"/>
      <c r="J53" s="158"/>
    </row>
    <row r="54" spans="1:10">
      <c r="A54" s="159"/>
      <c r="B54" s="160"/>
      <c r="C54" s="245"/>
      <c r="D54" s="245"/>
      <c r="E54" s="245"/>
      <c r="F54" s="245"/>
      <c r="G54" s="29"/>
      <c r="H54" s="30"/>
      <c r="I54" s="31"/>
      <c r="J54" s="176"/>
    </row>
    <row r="55" spans="1:10">
      <c r="A55" s="60"/>
      <c r="B55" s="66" t="s">
        <v>76</v>
      </c>
      <c r="C55" s="70">
        <v>20300</v>
      </c>
      <c r="D55" s="146"/>
      <c r="E55" s="70">
        <f>I55+I57</f>
        <v>62000</v>
      </c>
      <c r="F55" s="71">
        <f>E55-C55</f>
        <v>41700</v>
      </c>
      <c r="G55" s="283" t="s">
        <v>172</v>
      </c>
      <c r="H55" s="106"/>
      <c r="I55" s="107">
        <f>SUM(I56)</f>
        <v>60000</v>
      </c>
      <c r="J55" s="58"/>
    </row>
    <row r="56" spans="1:10">
      <c r="A56" s="62"/>
      <c r="B56" s="64"/>
      <c r="C56" s="244"/>
      <c r="D56" s="244"/>
      <c r="E56" s="244"/>
      <c r="F56" s="244"/>
      <c r="G56" s="150" t="s">
        <v>323</v>
      </c>
      <c r="H56" s="98" t="s">
        <v>27</v>
      </c>
      <c r="I56" s="109">
        <f>6*10000</f>
        <v>60000</v>
      </c>
      <c r="J56" s="59"/>
    </row>
    <row r="57" spans="1:10">
      <c r="A57" s="62"/>
      <c r="B57" s="64"/>
      <c r="C57" s="244"/>
      <c r="D57" s="244"/>
      <c r="E57" s="244"/>
      <c r="F57" s="244"/>
      <c r="G57" s="105" t="s">
        <v>87</v>
      </c>
      <c r="H57" s="106"/>
      <c r="I57" s="107">
        <f>SUM(I58)</f>
        <v>2000</v>
      </c>
      <c r="J57" s="58"/>
    </row>
    <row r="58" spans="1:10">
      <c r="A58" s="62"/>
      <c r="B58" s="64"/>
      <c r="C58" s="72"/>
      <c r="D58" s="147"/>
      <c r="E58" s="72"/>
      <c r="F58" s="72"/>
      <c r="G58" s="108" t="s">
        <v>257</v>
      </c>
      <c r="H58" s="98" t="s">
        <v>27</v>
      </c>
      <c r="I58" s="109">
        <f>100*3+1700</f>
        <v>2000</v>
      </c>
      <c r="J58" s="59"/>
    </row>
    <row r="59" spans="1:10">
      <c r="A59" s="62"/>
      <c r="B59" s="66" t="s">
        <v>77</v>
      </c>
      <c r="C59" s="70">
        <v>6000</v>
      </c>
      <c r="D59" s="146"/>
      <c r="E59" s="70">
        <f>I59+I61+I62</f>
        <v>6000</v>
      </c>
      <c r="F59" s="71">
        <f>E59-C59</f>
        <v>0</v>
      </c>
      <c r="G59" s="105" t="s">
        <v>86</v>
      </c>
      <c r="H59" s="106"/>
      <c r="I59" s="107">
        <f>SUM(I60)</f>
        <v>6000</v>
      </c>
      <c r="J59" s="58"/>
    </row>
    <row r="60" spans="1:10">
      <c r="A60" s="62"/>
      <c r="B60" s="64"/>
      <c r="C60" s="244"/>
      <c r="D60" s="244"/>
      <c r="E60" s="244"/>
      <c r="F60" s="244"/>
      <c r="G60" s="108" t="s">
        <v>254</v>
      </c>
      <c r="H60" s="98" t="s">
        <v>27</v>
      </c>
      <c r="I60" s="109">
        <f>3000*2</f>
        <v>6000</v>
      </c>
      <c r="J60" s="59"/>
    </row>
    <row r="61" spans="1:10">
      <c r="A61" s="62"/>
      <c r="B61" s="64"/>
      <c r="C61" s="72"/>
      <c r="D61" s="147"/>
      <c r="E61" s="72"/>
      <c r="F61" s="72"/>
      <c r="G61" s="105" t="s">
        <v>235</v>
      </c>
      <c r="H61" s="106"/>
      <c r="I61" s="209">
        <v>0</v>
      </c>
      <c r="J61" s="58"/>
    </row>
    <row r="62" spans="1:10">
      <c r="A62" s="62"/>
      <c r="B62" s="64"/>
      <c r="C62" s="72"/>
      <c r="D62" s="147"/>
      <c r="E62" s="72"/>
      <c r="F62" s="72"/>
      <c r="G62" s="299" t="s">
        <v>88</v>
      </c>
      <c r="H62" s="321"/>
      <c r="I62" s="307">
        <f>SUM(I63:I63)</f>
        <v>0</v>
      </c>
      <c r="J62" s="58"/>
    </row>
    <row r="63" spans="1:10" ht="17.25" thickBot="1">
      <c r="A63" s="65"/>
      <c r="B63" s="174"/>
      <c r="C63" s="75"/>
      <c r="D63" s="149"/>
      <c r="E63" s="75"/>
      <c r="F63" s="75"/>
      <c r="G63" s="108"/>
      <c r="H63" s="98" t="s">
        <v>27</v>
      </c>
      <c r="I63" s="312"/>
      <c r="J63" s="175"/>
    </row>
    <row r="64" spans="1:10">
      <c r="A64" s="340" t="s">
        <v>16</v>
      </c>
      <c r="B64" s="341"/>
      <c r="C64" s="313">
        <f>SUM(C66:C71)</f>
        <v>613589</v>
      </c>
      <c r="D64" s="239">
        <v>0</v>
      </c>
      <c r="E64" s="313">
        <f>E66+E68+E70</f>
        <v>0</v>
      </c>
      <c r="F64" s="313">
        <v>0</v>
      </c>
      <c r="G64" s="155"/>
      <c r="H64" s="156"/>
      <c r="I64" s="157"/>
      <c r="J64" s="158"/>
    </row>
    <row r="65" spans="1:10">
      <c r="A65" s="159"/>
      <c r="B65" s="160"/>
      <c r="C65" s="245"/>
      <c r="D65" s="245"/>
      <c r="E65" s="245"/>
      <c r="F65" s="245"/>
      <c r="G65" s="29"/>
      <c r="H65" s="30"/>
      <c r="I65" s="31"/>
      <c r="J65" s="35"/>
    </row>
    <row r="66" spans="1:10" ht="16.5" customHeight="1">
      <c r="A66" s="62"/>
      <c r="B66" s="238" t="s">
        <v>70</v>
      </c>
      <c r="C66" s="300">
        <v>613589</v>
      </c>
      <c r="D66" s="237">
        <v>0</v>
      </c>
      <c r="E66" s="70">
        <f>I66</f>
        <v>0</v>
      </c>
      <c r="F66" s="71">
        <f>E66-C66</f>
        <v>-613589</v>
      </c>
      <c r="G66" s="177" t="s">
        <v>102</v>
      </c>
      <c r="H66" s="98"/>
      <c r="I66" s="307">
        <f>I67</f>
        <v>0</v>
      </c>
      <c r="J66" s="34"/>
    </row>
    <row r="67" spans="1:10" ht="16.5" customHeight="1">
      <c r="A67" s="62"/>
      <c r="B67" s="178"/>
      <c r="C67" s="244"/>
      <c r="D67" s="244"/>
      <c r="E67" s="244"/>
      <c r="F67" s="244"/>
      <c r="G67" s="108"/>
      <c r="H67" s="100"/>
      <c r="I67" s="101">
        <v>0</v>
      </c>
      <c r="J67" s="76"/>
    </row>
    <row r="68" spans="1:10">
      <c r="A68" s="62"/>
      <c r="B68" s="61" t="s">
        <v>71</v>
      </c>
      <c r="C68" s="237">
        <v>0</v>
      </c>
      <c r="D68" s="237">
        <v>0</v>
      </c>
      <c r="E68" s="70">
        <f>I68</f>
        <v>0</v>
      </c>
      <c r="F68" s="71">
        <f>E68-C68</f>
        <v>0</v>
      </c>
      <c r="G68" s="105" t="s">
        <v>103</v>
      </c>
      <c r="H68" s="161"/>
      <c r="I68" s="209">
        <v>0</v>
      </c>
      <c r="J68" s="32"/>
    </row>
    <row r="69" spans="1:10">
      <c r="A69" s="62"/>
      <c r="B69" s="78"/>
      <c r="C69" s="244"/>
      <c r="D69" s="244"/>
      <c r="E69" s="244"/>
      <c r="F69" s="244"/>
      <c r="G69" s="130"/>
      <c r="H69" s="100"/>
      <c r="I69" s="101"/>
      <c r="J69" s="76"/>
    </row>
    <row r="70" spans="1:10">
      <c r="A70" s="62"/>
      <c r="B70" s="64" t="s">
        <v>72</v>
      </c>
      <c r="C70" s="237">
        <v>0</v>
      </c>
      <c r="D70" s="237">
        <v>0</v>
      </c>
      <c r="E70" s="70">
        <f>I70</f>
        <v>0</v>
      </c>
      <c r="F70" s="71">
        <f>E70-C70</f>
        <v>0</v>
      </c>
      <c r="G70" s="177" t="s">
        <v>104</v>
      </c>
      <c r="H70" s="98"/>
      <c r="I70" s="209">
        <v>0</v>
      </c>
      <c r="J70" s="34"/>
    </row>
    <row r="71" spans="1:10" ht="17.25" thickBot="1">
      <c r="A71" s="62"/>
      <c r="B71" s="64"/>
      <c r="C71" s="244"/>
      <c r="D71" s="244"/>
      <c r="E71" s="244"/>
      <c r="F71" s="244"/>
      <c r="G71" s="177"/>
      <c r="H71" s="98"/>
      <c r="I71" s="109"/>
      <c r="J71" s="34"/>
    </row>
    <row r="72" spans="1:10">
      <c r="A72" s="340" t="s">
        <v>17</v>
      </c>
      <c r="B72" s="341"/>
      <c r="C72" s="154">
        <f>SUM(C74:C83)</f>
        <v>1886994</v>
      </c>
      <c r="D72" s="153">
        <v>0</v>
      </c>
      <c r="E72" s="154">
        <f>E74+E76+E80+E82</f>
        <v>190000</v>
      </c>
      <c r="F72" s="154">
        <f>SUM(F74,F76,F80,F82)</f>
        <v>-1696994</v>
      </c>
      <c r="G72" s="155"/>
      <c r="H72" s="156"/>
      <c r="I72" s="157"/>
      <c r="J72" s="158"/>
    </row>
    <row r="73" spans="1:10">
      <c r="A73" s="159"/>
      <c r="B73" s="160"/>
      <c r="C73" s="241"/>
      <c r="D73" s="241"/>
      <c r="E73" s="241"/>
      <c r="F73" s="241"/>
      <c r="G73" s="29"/>
      <c r="H73" s="30"/>
      <c r="I73" s="31"/>
      <c r="J73" s="35"/>
    </row>
    <row r="74" spans="1:10">
      <c r="A74" s="60"/>
      <c r="B74" s="61" t="s">
        <v>73</v>
      </c>
      <c r="C74" s="237">
        <v>0</v>
      </c>
      <c r="D74" s="237">
        <v>0</v>
      </c>
      <c r="E74" s="70">
        <f>I74</f>
        <v>0</v>
      </c>
      <c r="F74" s="71">
        <f>E74-C74</f>
        <v>0</v>
      </c>
      <c r="G74" s="105" t="s">
        <v>173</v>
      </c>
      <c r="H74" s="161"/>
      <c r="I74" s="209">
        <v>0</v>
      </c>
      <c r="J74" s="32"/>
    </row>
    <row r="75" spans="1:10">
      <c r="A75" s="62"/>
      <c r="B75" s="64"/>
      <c r="C75" s="244"/>
      <c r="D75" s="244"/>
      <c r="E75" s="244"/>
      <c r="F75" s="244"/>
      <c r="G75" s="179"/>
      <c r="H75" s="98"/>
      <c r="I75" s="109"/>
      <c r="J75" s="59"/>
    </row>
    <row r="76" spans="1:10">
      <c r="A76" s="62"/>
      <c r="B76" s="66" t="s">
        <v>74</v>
      </c>
      <c r="C76" s="70">
        <v>1886994</v>
      </c>
      <c r="D76" s="146"/>
      <c r="E76" s="70">
        <f>I76+I78+I79</f>
        <v>190000</v>
      </c>
      <c r="F76" s="71">
        <f>E76-C76</f>
        <v>-1696994</v>
      </c>
      <c r="G76" s="105" t="s">
        <v>89</v>
      </c>
      <c r="H76" s="106"/>
      <c r="I76" s="307">
        <f>I77</f>
        <v>190000</v>
      </c>
      <c r="J76" s="58"/>
    </row>
    <row r="77" spans="1:10">
      <c r="A77" s="62"/>
      <c r="B77" s="64"/>
      <c r="C77" s="72"/>
      <c r="D77" s="147"/>
      <c r="E77" s="72"/>
      <c r="F77" s="322"/>
      <c r="G77" s="323" t="s">
        <v>329</v>
      </c>
      <c r="H77" s="98" t="s">
        <v>27</v>
      </c>
      <c r="I77" s="312">
        <v>190000</v>
      </c>
      <c r="J77" s="58"/>
    </row>
    <row r="78" spans="1:10">
      <c r="A78" s="62"/>
      <c r="B78" s="64"/>
      <c r="C78" s="309"/>
      <c r="D78" s="310"/>
      <c r="E78" s="309"/>
      <c r="F78" s="72"/>
      <c r="G78" s="105" t="s">
        <v>157</v>
      </c>
      <c r="H78" s="106"/>
      <c r="I78" s="209">
        <v>0</v>
      </c>
      <c r="J78" s="58"/>
    </row>
    <row r="79" spans="1:10">
      <c r="A79" s="62"/>
      <c r="B79" s="64"/>
      <c r="C79" s="72"/>
      <c r="D79" s="147"/>
      <c r="E79" s="72"/>
      <c r="F79" s="72"/>
      <c r="G79" s="105" t="s">
        <v>309</v>
      </c>
      <c r="H79" s="106"/>
      <c r="I79" s="307"/>
      <c r="J79" s="58"/>
    </row>
    <row r="80" spans="1:10">
      <c r="A80" s="62"/>
      <c r="B80" s="61" t="s">
        <v>53</v>
      </c>
      <c r="C80" s="237">
        <v>0</v>
      </c>
      <c r="D80" s="237">
        <v>0</v>
      </c>
      <c r="E80" s="70">
        <f>I80</f>
        <v>0</v>
      </c>
      <c r="F80" s="71">
        <f>E80-C80</f>
        <v>0</v>
      </c>
      <c r="G80" s="105" t="s">
        <v>106</v>
      </c>
      <c r="H80" s="161"/>
      <c r="I80" s="209">
        <v>0</v>
      </c>
      <c r="J80" s="32"/>
    </row>
    <row r="81" spans="1:10">
      <c r="A81" s="62"/>
      <c r="B81" s="64"/>
      <c r="C81" s="244"/>
      <c r="D81" s="244"/>
      <c r="E81" s="244"/>
      <c r="F81" s="244"/>
      <c r="G81" s="177"/>
      <c r="H81" s="98"/>
      <c r="I81" s="109"/>
      <c r="J81" s="34"/>
    </row>
    <row r="82" spans="1:10">
      <c r="A82" s="62"/>
      <c r="B82" s="66" t="s">
        <v>75</v>
      </c>
      <c r="C82" s="237">
        <v>0</v>
      </c>
      <c r="D82" s="237">
        <v>0</v>
      </c>
      <c r="E82" s="70">
        <f>I82</f>
        <v>0</v>
      </c>
      <c r="F82" s="71">
        <f>E82-C82</f>
        <v>0</v>
      </c>
      <c r="G82" s="180" t="s">
        <v>107</v>
      </c>
      <c r="H82" s="181"/>
      <c r="I82" s="209">
        <v>0</v>
      </c>
      <c r="J82" s="32"/>
    </row>
    <row r="83" spans="1:10" ht="17.25" thickBot="1">
      <c r="A83" s="62"/>
      <c r="B83" s="64"/>
      <c r="C83" s="244"/>
      <c r="D83" s="244"/>
      <c r="E83" s="244"/>
      <c r="F83" s="244"/>
      <c r="G83" s="183"/>
      <c r="H83" s="182"/>
      <c r="I83" s="184"/>
      <c r="J83" s="34"/>
    </row>
    <row r="84" spans="1:10">
      <c r="A84" s="342" t="s">
        <v>18</v>
      </c>
      <c r="B84" s="343"/>
      <c r="C84" s="186">
        <f>C72+C64+C53+C35+C7</f>
        <v>17446116</v>
      </c>
      <c r="D84" s="185">
        <v>0</v>
      </c>
      <c r="E84" s="186">
        <f>SUM(E72,E64,E53,E35,E7)</f>
        <v>16431276</v>
      </c>
      <c r="F84" s="296">
        <f>E84-C84</f>
        <v>-1014840</v>
      </c>
      <c r="G84" s="191"/>
      <c r="H84" s="192"/>
      <c r="I84" s="190"/>
      <c r="J84" s="187"/>
    </row>
    <row r="85" spans="1:10" ht="17.25" thickBot="1">
      <c r="A85" s="189"/>
      <c r="B85" s="188"/>
      <c r="C85" s="246"/>
      <c r="D85" s="246"/>
      <c r="E85" s="246"/>
      <c r="F85" s="246"/>
      <c r="G85" s="36"/>
      <c r="H85" s="37"/>
      <c r="I85" s="38"/>
      <c r="J85" s="39"/>
    </row>
    <row r="86" spans="1:10">
      <c r="A86" s="67" t="s">
        <v>19</v>
      </c>
      <c r="B86" s="68"/>
      <c r="C86" s="90"/>
      <c r="D86" s="69"/>
      <c r="E86" s="69"/>
      <c r="F86" s="69"/>
    </row>
    <row r="87" spans="1:10">
      <c r="E87" s="1"/>
      <c r="F87" s="1"/>
    </row>
  </sheetData>
  <mergeCells count="13">
    <mergeCell ref="A72:B72"/>
    <mergeCell ref="A84:B84"/>
    <mergeCell ref="A1:J1"/>
    <mergeCell ref="A2:J2"/>
    <mergeCell ref="A3:J3"/>
    <mergeCell ref="A4:J4"/>
    <mergeCell ref="A5:B6"/>
    <mergeCell ref="J5:J6"/>
    <mergeCell ref="A7:B7"/>
    <mergeCell ref="A35:B35"/>
    <mergeCell ref="A53:B53"/>
    <mergeCell ref="A64:B64"/>
    <mergeCell ref="G5:I6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40"/>
  <sheetViews>
    <sheetView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16.5"/>
  <cols>
    <col min="1" max="1" width="1.75" style="16" customWidth="1"/>
    <col min="2" max="2" width="10.625" style="16" customWidth="1"/>
    <col min="3" max="3" width="14.875" style="8" bestFit="1" customWidth="1"/>
    <col min="4" max="4" width="0" style="8" hidden="1" customWidth="1"/>
    <col min="5" max="5" width="15.5" style="8" bestFit="1" customWidth="1"/>
    <col min="6" max="6" width="10.25" style="69" customWidth="1"/>
    <col min="7" max="7" width="39.5" style="10" customWidth="1"/>
    <col min="8" max="8" width="2.125" style="3" customWidth="1"/>
    <col min="9" max="9" width="10.375" style="13" customWidth="1"/>
    <col min="10" max="10" width="5.75" style="2" customWidth="1"/>
    <col min="11" max="11" width="9" style="2"/>
    <col min="12" max="12" width="29.5" style="2" customWidth="1"/>
    <col min="13" max="13" width="9.625" style="2" bestFit="1" customWidth="1"/>
    <col min="14" max="16384" width="9" style="2"/>
  </cols>
  <sheetData>
    <row r="1" spans="1:11" ht="18.75">
      <c r="A1" s="346" t="s">
        <v>20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1" ht="17.25" thickBot="1">
      <c r="A2" s="347" t="s">
        <v>253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1" ht="22.5">
      <c r="A3" s="363" t="s">
        <v>1</v>
      </c>
      <c r="B3" s="376"/>
      <c r="C3" s="4" t="s">
        <v>2</v>
      </c>
      <c r="D3" s="4" t="s">
        <v>4</v>
      </c>
      <c r="E3" s="4" t="s">
        <v>6</v>
      </c>
      <c r="F3" s="80" t="s">
        <v>8</v>
      </c>
      <c r="G3" s="381" t="s">
        <v>137</v>
      </c>
      <c r="H3" s="382"/>
      <c r="I3" s="383"/>
      <c r="J3" s="379" t="s">
        <v>28</v>
      </c>
      <c r="K3" s="3"/>
    </row>
    <row r="4" spans="1:11" ht="17.25" thickBot="1">
      <c r="A4" s="377"/>
      <c r="B4" s="378"/>
      <c r="C4" s="92" t="s">
        <v>3</v>
      </c>
      <c r="D4" s="92" t="s">
        <v>5</v>
      </c>
      <c r="E4" s="92" t="s">
        <v>7</v>
      </c>
      <c r="F4" s="93" t="s">
        <v>9</v>
      </c>
      <c r="G4" s="384"/>
      <c r="H4" s="385"/>
      <c r="I4" s="386"/>
      <c r="J4" s="380"/>
    </row>
    <row r="5" spans="1:11">
      <c r="A5" s="369" t="s">
        <v>21</v>
      </c>
      <c r="B5" s="370"/>
      <c r="C5" s="199">
        <f>SUM(C7,C22,C38)</f>
        <v>8324300</v>
      </c>
      <c r="D5" s="199">
        <v>0</v>
      </c>
      <c r="E5" s="199">
        <f>SUM(E7,E22,E38)</f>
        <v>8797380</v>
      </c>
      <c r="F5" s="200">
        <f>E5-C5</f>
        <v>473080</v>
      </c>
      <c r="G5" s="201"/>
      <c r="H5" s="202"/>
      <c r="I5" s="203"/>
      <c r="J5" s="204"/>
    </row>
    <row r="6" spans="1:11">
      <c r="A6" s="193"/>
      <c r="B6" s="194"/>
      <c r="C6" s="245"/>
      <c r="D6" s="245"/>
      <c r="E6" s="245"/>
      <c r="F6" s="245"/>
      <c r="G6" s="195"/>
      <c r="H6" s="196"/>
      <c r="I6" s="197"/>
      <c r="J6" s="198"/>
    </row>
    <row r="7" spans="1:11" ht="16.5" customHeight="1">
      <c r="A7" s="22"/>
      <c r="B7" s="57" t="s">
        <v>81</v>
      </c>
      <c r="C7" s="5">
        <v>6315200</v>
      </c>
      <c r="D7" s="5"/>
      <c r="E7" s="5">
        <f>SUM(I7,I10,I18,I20)</f>
        <v>6469300</v>
      </c>
      <c r="F7" s="81">
        <f>E7-C7</f>
        <v>154100</v>
      </c>
      <c r="G7" s="102" t="s">
        <v>41</v>
      </c>
      <c r="H7" s="103"/>
      <c r="I7" s="104">
        <f>SUM(I8:I9)</f>
        <v>3432000</v>
      </c>
      <c r="J7" s="42"/>
    </row>
    <row r="8" spans="1:11" ht="16.5" customHeight="1">
      <c r="A8" s="24"/>
      <c r="B8" s="298"/>
      <c r="C8" s="244"/>
      <c r="D8" s="244"/>
      <c r="E8" s="244"/>
      <c r="F8" s="244"/>
      <c r="G8" s="47" t="s">
        <v>191</v>
      </c>
      <c r="H8" s="285" t="s">
        <v>27</v>
      </c>
      <c r="I8" s="49">
        <f>45000*5*12</f>
        <v>2700000</v>
      </c>
      <c r="J8" s="43"/>
    </row>
    <row r="9" spans="1:11">
      <c r="A9" s="23"/>
      <c r="B9" s="15"/>
      <c r="C9" s="244"/>
      <c r="D9" s="244"/>
      <c r="E9" s="244"/>
      <c r="F9" s="244"/>
      <c r="G9" s="47" t="s">
        <v>274</v>
      </c>
      <c r="H9" s="285" t="s">
        <v>27</v>
      </c>
      <c r="I9" s="49">
        <f>500*2*183*4</f>
        <v>732000</v>
      </c>
      <c r="J9" s="43"/>
    </row>
    <row r="10" spans="1:11">
      <c r="A10" s="23"/>
      <c r="B10" s="15"/>
      <c r="C10" s="6"/>
      <c r="D10" s="6"/>
      <c r="E10" s="6"/>
      <c r="F10" s="82"/>
      <c r="G10" s="102" t="s">
        <v>55</v>
      </c>
      <c r="H10" s="103"/>
      <c r="I10" s="104">
        <f>SUM(I11:I17)</f>
        <v>2334000</v>
      </c>
      <c r="J10" s="42"/>
    </row>
    <row r="11" spans="1:11">
      <c r="A11" s="23"/>
      <c r="B11" s="15"/>
      <c r="C11" s="6"/>
      <c r="D11" s="6"/>
      <c r="E11" s="6"/>
      <c r="F11" s="82"/>
      <c r="G11" s="47" t="s">
        <v>184</v>
      </c>
      <c r="H11" s="285" t="s">
        <v>27</v>
      </c>
      <c r="I11" s="49">
        <f>4000*5*12</f>
        <v>240000</v>
      </c>
      <c r="J11" s="43"/>
    </row>
    <row r="12" spans="1:11">
      <c r="A12" s="23"/>
      <c r="B12" s="15"/>
      <c r="C12" s="6"/>
      <c r="D12" s="6"/>
      <c r="E12" s="6"/>
      <c r="F12" s="82"/>
      <c r="G12" s="47" t="s">
        <v>186</v>
      </c>
      <c r="H12" s="285" t="s">
        <v>27</v>
      </c>
      <c r="I12" s="49">
        <f>4000*1*12</f>
        <v>48000</v>
      </c>
      <c r="J12" s="43"/>
    </row>
    <row r="13" spans="1:11">
      <c r="A13" s="23"/>
      <c r="B13" s="15"/>
      <c r="C13" s="6"/>
      <c r="D13" s="6"/>
      <c r="E13" s="6"/>
      <c r="F13" s="82"/>
      <c r="G13" s="47" t="s">
        <v>208</v>
      </c>
      <c r="H13" s="285" t="s">
        <v>27</v>
      </c>
      <c r="I13" s="49">
        <f>5000*5*12</f>
        <v>300000</v>
      </c>
      <c r="J13" s="43"/>
    </row>
    <row r="14" spans="1:11">
      <c r="A14" s="23"/>
      <c r="B14" s="15"/>
      <c r="C14" s="6"/>
      <c r="D14" s="6"/>
      <c r="E14" s="6"/>
      <c r="F14" s="82"/>
      <c r="G14" s="47" t="s">
        <v>193</v>
      </c>
      <c r="H14" s="285" t="s">
        <v>27</v>
      </c>
      <c r="I14" s="49">
        <f>18000*5*12</f>
        <v>1080000</v>
      </c>
      <c r="J14" s="43"/>
    </row>
    <row r="15" spans="1:11">
      <c r="A15" s="23"/>
      <c r="B15" s="15"/>
      <c r="C15" s="6"/>
      <c r="D15" s="6"/>
      <c r="E15" s="6"/>
      <c r="F15" s="82"/>
      <c r="G15" s="86" t="s">
        <v>207</v>
      </c>
      <c r="H15" s="87" t="s">
        <v>114</v>
      </c>
      <c r="I15" s="88">
        <f>6200*5*12</f>
        <v>372000</v>
      </c>
      <c r="J15" s="89"/>
    </row>
    <row r="16" spans="1:11">
      <c r="A16" s="23"/>
      <c r="B16" s="15"/>
      <c r="C16" s="6"/>
      <c r="D16" s="6"/>
      <c r="E16" s="6"/>
      <c r="F16" s="82"/>
      <c r="G16" s="47" t="s">
        <v>185</v>
      </c>
      <c r="H16" s="285" t="s">
        <v>27</v>
      </c>
      <c r="I16" s="49">
        <f>4000*5*12</f>
        <v>240000</v>
      </c>
      <c r="J16" s="43"/>
    </row>
    <row r="17" spans="1:10">
      <c r="A17" s="23"/>
      <c r="B17" s="15"/>
      <c r="C17" s="6"/>
      <c r="D17" s="6"/>
      <c r="E17" s="6"/>
      <c r="F17" s="82"/>
      <c r="G17" s="51" t="s">
        <v>210</v>
      </c>
      <c r="H17" s="288" t="s">
        <v>34</v>
      </c>
      <c r="I17" s="53">
        <f>300*5*3*12</f>
        <v>54000</v>
      </c>
      <c r="J17" s="44"/>
    </row>
    <row r="18" spans="1:10">
      <c r="A18" s="23"/>
      <c r="B18" s="15"/>
      <c r="C18" s="6"/>
      <c r="D18" s="6"/>
      <c r="E18" s="6"/>
      <c r="F18" s="82"/>
      <c r="G18" s="102" t="s">
        <v>56</v>
      </c>
      <c r="H18" s="103"/>
      <c r="I18" s="104">
        <f>SUM(I19)</f>
        <v>270000</v>
      </c>
      <c r="J18" s="42"/>
    </row>
    <row r="19" spans="1:10">
      <c r="A19" s="23"/>
      <c r="B19" s="15"/>
      <c r="C19" s="6"/>
      <c r="D19" s="6"/>
      <c r="E19" s="6"/>
      <c r="F19" s="82"/>
      <c r="G19" s="51" t="s">
        <v>192</v>
      </c>
      <c r="H19" s="288" t="s">
        <v>34</v>
      </c>
      <c r="I19" s="53">
        <f>45000*5*2*0.6</f>
        <v>270000</v>
      </c>
      <c r="J19" s="44"/>
    </row>
    <row r="20" spans="1:10">
      <c r="A20" s="23"/>
      <c r="B20" s="15"/>
      <c r="C20" s="6"/>
      <c r="D20" s="6"/>
      <c r="E20" s="6"/>
      <c r="F20" s="82"/>
      <c r="G20" s="102" t="s">
        <v>78</v>
      </c>
      <c r="H20" s="103"/>
      <c r="I20" s="104">
        <f>SUM(I21)</f>
        <v>433300</v>
      </c>
      <c r="J20" s="55"/>
    </row>
    <row r="21" spans="1:10">
      <c r="A21" s="23"/>
      <c r="B21" s="15"/>
      <c r="C21" s="6"/>
      <c r="D21" s="6"/>
      <c r="E21" s="6"/>
      <c r="F21" s="82"/>
      <c r="G21" s="51" t="s">
        <v>258</v>
      </c>
      <c r="H21" s="288" t="s">
        <v>34</v>
      </c>
      <c r="I21" s="53">
        <f>23600*12+150100</f>
        <v>433300</v>
      </c>
      <c r="J21" s="54"/>
    </row>
    <row r="22" spans="1:10" ht="16.5" customHeight="1">
      <c r="A22" s="24"/>
      <c r="B22" s="360" t="s">
        <v>80</v>
      </c>
      <c r="C22" s="5">
        <v>1730400</v>
      </c>
      <c r="D22" s="5"/>
      <c r="E22" s="5">
        <f>SUM(I22,I27,I33,I35)</f>
        <v>1834080</v>
      </c>
      <c r="F22" s="81">
        <f>E22-C22</f>
        <v>103680</v>
      </c>
      <c r="G22" s="102" t="s">
        <v>41</v>
      </c>
      <c r="H22" s="103"/>
      <c r="I22" s="104">
        <f>SUM(I23:I26)</f>
        <v>1196880</v>
      </c>
      <c r="J22" s="42"/>
    </row>
    <row r="23" spans="1:10" s="12" customFormat="1">
      <c r="A23" s="284"/>
      <c r="B23" s="361"/>
      <c r="C23" s="286"/>
      <c r="D23" s="286"/>
      <c r="E23" s="286"/>
      <c r="F23" s="286"/>
      <c r="G23" s="47" t="s">
        <v>236</v>
      </c>
      <c r="H23" s="285" t="s">
        <v>27</v>
      </c>
      <c r="I23" s="49">
        <f>45000*12</f>
        <v>540000</v>
      </c>
      <c r="J23" s="50"/>
    </row>
    <row r="24" spans="1:10" s="12" customFormat="1">
      <c r="A24" s="284"/>
      <c r="B24" s="314"/>
      <c r="C24" s="286"/>
      <c r="D24" s="286"/>
      <c r="E24" s="286"/>
      <c r="F24" s="286"/>
      <c r="G24" s="47" t="s">
        <v>244</v>
      </c>
      <c r="H24" s="285" t="s">
        <v>27</v>
      </c>
      <c r="I24" s="49">
        <f>25000*12</f>
        <v>300000</v>
      </c>
      <c r="J24" s="50"/>
    </row>
    <row r="25" spans="1:10" s="12" customFormat="1">
      <c r="A25" s="284"/>
      <c r="B25" s="287"/>
      <c r="C25" s="116"/>
      <c r="D25" s="116"/>
      <c r="E25" s="116"/>
      <c r="F25" s="117"/>
      <c r="G25" s="47" t="s">
        <v>282</v>
      </c>
      <c r="H25" s="285" t="s">
        <v>27</v>
      </c>
      <c r="I25" s="49">
        <f>170*8*183</f>
        <v>248880</v>
      </c>
      <c r="J25" s="50"/>
    </row>
    <row r="26" spans="1:10" s="12" customFormat="1">
      <c r="A26" s="284"/>
      <c r="B26" s="115"/>
      <c r="C26" s="116"/>
      <c r="D26" s="116"/>
      <c r="E26" s="116"/>
      <c r="F26" s="117"/>
      <c r="G26" s="47" t="s">
        <v>283</v>
      </c>
      <c r="H26" s="285" t="s">
        <v>27</v>
      </c>
      <c r="I26" s="49">
        <f>150*1*4*180</f>
        <v>108000</v>
      </c>
      <c r="J26" s="50"/>
    </row>
    <row r="27" spans="1:10" s="12" customFormat="1">
      <c r="A27" s="284"/>
      <c r="B27" s="115"/>
      <c r="C27" s="116"/>
      <c r="D27" s="116"/>
      <c r="E27" s="116"/>
      <c r="F27" s="117"/>
      <c r="G27" s="102" t="s">
        <v>55</v>
      </c>
      <c r="H27" s="103"/>
      <c r="I27" s="104">
        <f>SUM(I28:I32)</f>
        <v>465600</v>
      </c>
      <c r="J27" s="55"/>
    </row>
    <row r="28" spans="1:10" s="12" customFormat="1">
      <c r="A28" s="284"/>
      <c r="B28" s="115"/>
      <c r="C28" s="116"/>
      <c r="D28" s="116"/>
      <c r="E28" s="116"/>
      <c r="F28" s="117"/>
      <c r="G28" s="47" t="s">
        <v>177</v>
      </c>
      <c r="H28" s="285" t="s">
        <v>27</v>
      </c>
      <c r="I28" s="49">
        <f>4000*12</f>
        <v>48000</v>
      </c>
      <c r="J28" s="50"/>
    </row>
    <row r="29" spans="1:10" s="12" customFormat="1">
      <c r="A29" s="284"/>
      <c r="B29" s="115"/>
      <c r="C29" s="116"/>
      <c r="D29" s="116"/>
      <c r="E29" s="116"/>
      <c r="F29" s="117"/>
      <c r="G29" s="47" t="s">
        <v>243</v>
      </c>
      <c r="H29" s="285" t="s">
        <v>27</v>
      </c>
      <c r="I29" s="49">
        <f>2000*12</f>
        <v>24000</v>
      </c>
      <c r="J29" s="50"/>
    </row>
    <row r="30" spans="1:10" s="12" customFormat="1">
      <c r="A30" s="284"/>
      <c r="B30" s="115"/>
      <c r="C30" s="116"/>
      <c r="D30" s="116"/>
      <c r="E30" s="116"/>
      <c r="F30" s="117"/>
      <c r="G30" s="47" t="s">
        <v>250</v>
      </c>
      <c r="H30" s="285" t="s">
        <v>27</v>
      </c>
      <c r="I30" s="49">
        <f>5000*2*12</f>
        <v>120000</v>
      </c>
      <c r="J30" s="50"/>
    </row>
    <row r="31" spans="1:10" s="12" customFormat="1" ht="17.25" customHeight="1">
      <c r="A31" s="284"/>
      <c r="B31" s="115"/>
      <c r="C31" s="116"/>
      <c r="D31" s="116"/>
      <c r="E31" s="116"/>
      <c r="F31" s="117"/>
      <c r="G31" s="47" t="s">
        <v>138</v>
      </c>
      <c r="H31" s="285" t="s">
        <v>27</v>
      </c>
      <c r="I31" s="49">
        <f>18000*12</f>
        <v>216000</v>
      </c>
      <c r="J31" s="50"/>
    </row>
    <row r="32" spans="1:10" s="12" customFormat="1">
      <c r="A32" s="284"/>
      <c r="B32" s="115"/>
      <c r="C32" s="116"/>
      <c r="D32" s="116"/>
      <c r="E32" s="116"/>
      <c r="F32" s="117"/>
      <c r="G32" s="51" t="s">
        <v>211</v>
      </c>
      <c r="H32" s="288" t="s">
        <v>27</v>
      </c>
      <c r="I32" s="53">
        <f>300*2*8*12</f>
        <v>57600</v>
      </c>
      <c r="J32" s="50"/>
    </row>
    <row r="33" spans="1:10" s="12" customFormat="1">
      <c r="A33" s="284"/>
      <c r="B33" s="115"/>
      <c r="C33" s="116"/>
      <c r="D33" s="116"/>
      <c r="E33" s="116"/>
      <c r="F33" s="117"/>
      <c r="G33" s="102" t="s">
        <v>56</v>
      </c>
      <c r="H33" s="103"/>
      <c r="I33" s="104">
        <f>SUM(I34:I34)</f>
        <v>84000</v>
      </c>
      <c r="J33" s="55"/>
    </row>
    <row r="34" spans="1:10" s="12" customFormat="1">
      <c r="A34" s="284"/>
      <c r="B34" s="115"/>
      <c r="C34" s="116"/>
      <c r="D34" s="116"/>
      <c r="E34" s="116"/>
      <c r="F34" s="117"/>
      <c r="G34" s="51" t="s">
        <v>245</v>
      </c>
      <c r="H34" s="288" t="s">
        <v>34</v>
      </c>
      <c r="I34" s="53">
        <f>35000*2*2*0.6</f>
        <v>84000</v>
      </c>
      <c r="J34" s="54"/>
    </row>
    <row r="35" spans="1:10">
      <c r="A35" s="23"/>
      <c r="B35" s="15"/>
      <c r="C35" s="6"/>
      <c r="D35" s="6"/>
      <c r="E35" s="6"/>
      <c r="F35" s="82"/>
      <c r="G35" s="102" t="s">
        <v>78</v>
      </c>
      <c r="H35" s="103"/>
      <c r="I35" s="104">
        <f>SUM(I36:I37)</f>
        <v>87600</v>
      </c>
      <c r="J35" s="42"/>
    </row>
    <row r="36" spans="1:10">
      <c r="A36" s="23"/>
      <c r="B36" s="15"/>
      <c r="C36" s="6"/>
      <c r="D36" s="6"/>
      <c r="E36" s="6"/>
      <c r="F36" s="82"/>
      <c r="G36" s="47" t="s">
        <v>284</v>
      </c>
      <c r="H36" s="285" t="s">
        <v>34</v>
      </c>
      <c r="I36" s="49">
        <f>5000*12</f>
        <v>60000</v>
      </c>
      <c r="J36" s="43"/>
    </row>
    <row r="37" spans="1:10">
      <c r="A37" s="23"/>
      <c r="B37" s="15"/>
      <c r="C37" s="6"/>
      <c r="D37" s="6"/>
      <c r="E37" s="6"/>
      <c r="F37" s="82"/>
      <c r="G37" s="51" t="s">
        <v>285</v>
      </c>
      <c r="H37" s="288" t="s">
        <v>34</v>
      </c>
      <c r="I37" s="53">
        <f>2300*12</f>
        <v>27600</v>
      </c>
      <c r="J37" s="44"/>
    </row>
    <row r="38" spans="1:10" ht="16.5" customHeight="1">
      <c r="A38" s="24"/>
      <c r="B38" s="360" t="s">
        <v>42</v>
      </c>
      <c r="C38" s="5">
        <v>278700</v>
      </c>
      <c r="D38" s="5"/>
      <c r="E38" s="5">
        <f>SUM(I38,I41)</f>
        <v>494000</v>
      </c>
      <c r="F38" s="81">
        <f>E38-C38</f>
        <v>215300</v>
      </c>
      <c r="G38" s="102" t="s">
        <v>96</v>
      </c>
      <c r="H38" s="103"/>
      <c r="I38" s="104">
        <f>SUM(I39:I40)</f>
        <v>44000</v>
      </c>
      <c r="J38" s="42"/>
    </row>
    <row r="39" spans="1:10" ht="16.5" customHeight="1">
      <c r="A39" s="24"/>
      <c r="B39" s="362"/>
      <c r="C39" s="6"/>
      <c r="D39" s="6"/>
      <c r="E39" s="6"/>
      <c r="F39" s="82"/>
      <c r="G39" s="47" t="s">
        <v>338</v>
      </c>
      <c r="H39" s="285" t="s">
        <v>34</v>
      </c>
      <c r="I39" s="49">
        <f>20000*1</f>
        <v>20000</v>
      </c>
      <c r="J39" s="43"/>
    </row>
    <row r="40" spans="1:10">
      <c r="A40" s="23"/>
      <c r="B40" s="362"/>
      <c r="C40" s="244"/>
      <c r="D40" s="244"/>
      <c r="E40" s="244"/>
      <c r="F40" s="244"/>
      <c r="G40" s="47" t="s">
        <v>333</v>
      </c>
      <c r="H40" s="285" t="s">
        <v>27</v>
      </c>
      <c r="I40" s="49">
        <f>2000*1*12</f>
        <v>24000</v>
      </c>
      <c r="J40" s="43"/>
    </row>
    <row r="41" spans="1:10">
      <c r="A41" s="23"/>
      <c r="B41" s="15"/>
      <c r="C41" s="252"/>
      <c r="D41" s="252"/>
      <c r="E41" s="252"/>
      <c r="F41" s="82"/>
      <c r="G41" s="102" t="s">
        <v>97</v>
      </c>
      <c r="H41" s="103"/>
      <c r="I41" s="104">
        <f>SUM(I42:I42)</f>
        <v>450000</v>
      </c>
      <c r="J41" s="42"/>
    </row>
    <row r="42" spans="1:10" ht="17.25" thickBot="1">
      <c r="A42" s="23"/>
      <c r="B42" s="15"/>
      <c r="C42" s="6"/>
      <c r="D42" s="6"/>
      <c r="E42" s="6"/>
      <c r="F42" s="82"/>
      <c r="G42" s="47" t="s">
        <v>286</v>
      </c>
      <c r="H42" s="285" t="s">
        <v>27</v>
      </c>
      <c r="I42" s="49">
        <f>90000*5</f>
        <v>450000</v>
      </c>
      <c r="J42" s="43"/>
    </row>
    <row r="43" spans="1:10" ht="16.5" customHeight="1">
      <c r="A43" s="365" t="s">
        <v>22</v>
      </c>
      <c r="B43" s="366"/>
      <c r="C43" s="199">
        <f>SUM(C45,C86,C147,C170)</f>
        <v>4646331</v>
      </c>
      <c r="D43" s="199">
        <v>0</v>
      </c>
      <c r="E43" s="199">
        <f>SUM(E45,E86,E147,E170)</f>
        <v>5177972</v>
      </c>
      <c r="F43" s="200">
        <f>E43-C43</f>
        <v>531641</v>
      </c>
      <c r="G43" s="201"/>
      <c r="H43" s="202" t="s">
        <v>27</v>
      </c>
      <c r="I43" s="203"/>
      <c r="J43" s="204"/>
    </row>
    <row r="44" spans="1:10" ht="16.5" customHeight="1">
      <c r="A44" s="205"/>
      <c r="B44" s="206"/>
      <c r="C44" s="245"/>
      <c r="D44" s="245"/>
      <c r="E44" s="245"/>
      <c r="F44" s="245"/>
      <c r="G44" s="195"/>
      <c r="H44" s="196"/>
      <c r="I44" s="197"/>
      <c r="J44" s="198"/>
    </row>
    <row r="45" spans="1:10" s="11" customFormat="1" ht="16.5" customHeight="1">
      <c r="A45" s="25"/>
      <c r="B45" s="18" t="s">
        <v>43</v>
      </c>
      <c r="C45" s="5">
        <v>1479140</v>
      </c>
      <c r="D45" s="5"/>
      <c r="E45" s="5">
        <f>SUM(I45,I67,I81,I83,I84)</f>
        <v>1490962</v>
      </c>
      <c r="F45" s="81">
        <f>E45-C45</f>
        <v>11822</v>
      </c>
      <c r="G45" s="102" t="s">
        <v>115</v>
      </c>
      <c r="H45" s="111"/>
      <c r="I45" s="104">
        <f>SUM(I46:I66)</f>
        <v>455094</v>
      </c>
      <c r="J45" s="46"/>
    </row>
    <row r="46" spans="1:10">
      <c r="A46" s="20"/>
      <c r="B46" s="15"/>
      <c r="C46" s="244"/>
      <c r="D46" s="244"/>
      <c r="E46" s="244"/>
      <c r="F46" s="244"/>
      <c r="G46" s="47" t="s">
        <v>123</v>
      </c>
      <c r="H46" s="48" t="s">
        <v>27</v>
      </c>
      <c r="I46" s="49">
        <f>200*12*2*12</f>
        <v>57600</v>
      </c>
      <c r="J46" s="43"/>
    </row>
    <row r="47" spans="1:10">
      <c r="A47" s="20"/>
      <c r="B47" s="15"/>
      <c r="C47" s="6"/>
      <c r="D47" s="6"/>
      <c r="E47" s="6"/>
      <c r="F47" s="82"/>
      <c r="G47" s="47" t="s">
        <v>259</v>
      </c>
      <c r="H47" s="48" t="s">
        <v>27</v>
      </c>
      <c r="I47" s="49">
        <f>20000*2*2+96000</f>
        <v>176000</v>
      </c>
      <c r="J47" s="43"/>
    </row>
    <row r="48" spans="1:10">
      <c r="A48" s="20"/>
      <c r="B48" s="15"/>
      <c r="C48" s="6"/>
      <c r="D48" s="6"/>
      <c r="E48" s="6"/>
      <c r="F48" s="82"/>
      <c r="G48" s="47" t="s">
        <v>201</v>
      </c>
      <c r="H48" s="48" t="s">
        <v>27</v>
      </c>
      <c r="I48" s="49">
        <f>32000*1</f>
        <v>32000</v>
      </c>
      <c r="J48" s="50"/>
    </row>
    <row r="49" spans="1:10" s="11" customFormat="1">
      <c r="A49" s="20"/>
      <c r="B49" s="15"/>
      <c r="C49" s="6"/>
      <c r="D49" s="6"/>
      <c r="E49" s="6"/>
      <c r="F49" s="82"/>
      <c r="G49" s="47" t="s">
        <v>275</v>
      </c>
      <c r="H49" s="48" t="s">
        <v>27</v>
      </c>
      <c r="I49" s="49">
        <f>300*8*4</f>
        <v>9600</v>
      </c>
      <c r="J49" s="43"/>
    </row>
    <row r="50" spans="1:10">
      <c r="A50" s="20"/>
      <c r="B50" s="15"/>
      <c r="C50" s="6"/>
      <c r="D50" s="6"/>
      <c r="E50" s="6"/>
      <c r="F50" s="82"/>
      <c r="G50" s="47" t="s">
        <v>276</v>
      </c>
      <c r="H50" s="48" t="s">
        <v>27</v>
      </c>
      <c r="I50" s="49">
        <f>300*8*2</f>
        <v>4800</v>
      </c>
      <c r="J50" s="43"/>
    </row>
    <row r="51" spans="1:10">
      <c r="A51" s="20"/>
      <c r="B51" s="15"/>
      <c r="C51" s="6"/>
      <c r="D51" s="6"/>
      <c r="E51" s="6"/>
      <c r="F51" s="82"/>
      <c r="G51" s="47" t="s">
        <v>277</v>
      </c>
      <c r="H51" s="48" t="s">
        <v>27</v>
      </c>
      <c r="I51" s="49">
        <f>300*4*1</f>
        <v>1200</v>
      </c>
      <c r="J51" s="43"/>
    </row>
    <row r="52" spans="1:10">
      <c r="A52" s="20"/>
      <c r="B52" s="15"/>
      <c r="C52" s="6"/>
      <c r="D52" s="6"/>
      <c r="E52" s="6"/>
      <c r="F52" s="82"/>
      <c r="G52" s="47" t="s">
        <v>278</v>
      </c>
      <c r="H52" s="48" t="s">
        <v>27</v>
      </c>
      <c r="I52" s="49">
        <f>300*4*1</f>
        <v>1200</v>
      </c>
      <c r="J52" s="43"/>
    </row>
    <row r="53" spans="1:10">
      <c r="A53" s="20"/>
      <c r="B53" s="15"/>
      <c r="C53" s="6"/>
      <c r="D53" s="6"/>
      <c r="E53" s="6"/>
      <c r="F53" s="82"/>
      <c r="G53" s="47" t="s">
        <v>260</v>
      </c>
      <c r="H53" s="48" t="s">
        <v>27</v>
      </c>
      <c r="I53" s="49">
        <v>10000</v>
      </c>
      <c r="J53" s="43"/>
    </row>
    <row r="54" spans="1:10">
      <c r="A54" s="20"/>
      <c r="B54" s="15"/>
      <c r="C54" s="6"/>
      <c r="D54" s="6"/>
      <c r="E54" s="6"/>
      <c r="F54" s="82"/>
      <c r="G54" s="47" t="s">
        <v>261</v>
      </c>
      <c r="H54" s="48" t="s">
        <v>27</v>
      </c>
      <c r="I54" s="49">
        <f>5000+1000</f>
        <v>6000</v>
      </c>
      <c r="J54" s="43"/>
    </row>
    <row r="55" spans="1:10">
      <c r="A55" s="20"/>
      <c r="B55" s="15"/>
      <c r="C55" s="6"/>
      <c r="D55" s="6"/>
      <c r="E55" s="6"/>
      <c r="F55" s="82"/>
      <c r="G55" s="47" t="s">
        <v>262</v>
      </c>
      <c r="H55" s="48" t="s">
        <v>27</v>
      </c>
      <c r="I55" s="49">
        <f>300*2*11</f>
        <v>6600</v>
      </c>
      <c r="J55" s="50"/>
    </row>
    <row r="56" spans="1:10">
      <c r="A56" s="20"/>
      <c r="B56" s="15"/>
      <c r="C56" s="6"/>
      <c r="D56" s="6"/>
      <c r="E56" s="6"/>
      <c r="F56" s="82"/>
      <c r="G56" s="47" t="s">
        <v>263</v>
      </c>
      <c r="H56" s="48" t="s">
        <v>27</v>
      </c>
      <c r="I56" s="49">
        <f>2300*2</f>
        <v>4600</v>
      </c>
      <c r="J56" s="50"/>
    </row>
    <row r="57" spans="1:10">
      <c r="A57" s="20"/>
      <c r="B57" s="15"/>
      <c r="C57" s="6"/>
      <c r="D57" s="6"/>
      <c r="E57" s="6"/>
      <c r="F57" s="82"/>
      <c r="G57" s="47" t="s">
        <v>264</v>
      </c>
      <c r="H57" s="48" t="s">
        <v>27</v>
      </c>
      <c r="I57" s="49">
        <f>9500*2</f>
        <v>19000</v>
      </c>
      <c r="J57" s="43"/>
    </row>
    <row r="58" spans="1:10">
      <c r="A58" s="20"/>
      <c r="B58" s="15"/>
      <c r="C58" s="6"/>
      <c r="D58" s="6"/>
      <c r="E58" s="6"/>
      <c r="F58" s="82"/>
      <c r="G58" s="47" t="s">
        <v>265</v>
      </c>
      <c r="H58" s="48" t="s">
        <v>27</v>
      </c>
      <c r="I58" s="49">
        <f>1472*2</f>
        <v>2944</v>
      </c>
      <c r="J58" s="43"/>
    </row>
    <row r="59" spans="1:10">
      <c r="A59" s="20"/>
      <c r="B59" s="15"/>
      <c r="C59" s="6"/>
      <c r="D59" s="6"/>
      <c r="E59" s="6"/>
      <c r="F59" s="82"/>
      <c r="G59" s="47" t="s">
        <v>153</v>
      </c>
      <c r="H59" s="48" t="s">
        <v>27</v>
      </c>
      <c r="I59" s="49">
        <v>200</v>
      </c>
      <c r="J59" s="43"/>
    </row>
    <row r="60" spans="1:10">
      <c r="A60" s="20"/>
      <c r="B60" s="15"/>
      <c r="C60" s="6"/>
      <c r="D60" s="6"/>
      <c r="E60" s="6"/>
      <c r="F60" s="82"/>
      <c r="G60" s="47" t="s">
        <v>199</v>
      </c>
      <c r="H60" s="48" t="s">
        <v>27</v>
      </c>
      <c r="I60" s="49">
        <f>4325*4</f>
        <v>17300</v>
      </c>
      <c r="J60" s="43"/>
    </row>
    <row r="61" spans="1:10">
      <c r="A61" s="20"/>
      <c r="B61" s="15"/>
      <c r="C61" s="6"/>
      <c r="D61" s="6"/>
      <c r="E61" s="6"/>
      <c r="F61" s="82"/>
      <c r="G61" s="47" t="s">
        <v>239</v>
      </c>
      <c r="H61" s="48" t="s">
        <v>27</v>
      </c>
      <c r="I61" s="49">
        <f>9000*5</f>
        <v>45000</v>
      </c>
      <c r="J61" s="43"/>
    </row>
    <row r="62" spans="1:10">
      <c r="A62" s="20"/>
      <c r="B62" s="15"/>
      <c r="C62" s="6"/>
      <c r="D62" s="6"/>
      <c r="E62" s="6"/>
      <c r="F62" s="82"/>
      <c r="G62" s="47" t="s">
        <v>156</v>
      </c>
      <c r="H62" s="48" t="s">
        <v>124</v>
      </c>
      <c r="I62" s="49">
        <v>750</v>
      </c>
      <c r="J62" s="43"/>
    </row>
    <row r="63" spans="1:10">
      <c r="A63" s="20"/>
      <c r="B63" s="15"/>
      <c r="C63" s="6"/>
      <c r="D63" s="6"/>
      <c r="E63" s="6"/>
      <c r="F63" s="82"/>
      <c r="G63" s="47" t="s">
        <v>200</v>
      </c>
      <c r="H63" s="48" t="s">
        <v>124</v>
      </c>
      <c r="I63" s="49">
        <f>500*5</f>
        <v>2500</v>
      </c>
      <c r="J63" s="43"/>
    </row>
    <row r="64" spans="1:10">
      <c r="A64" s="20"/>
      <c r="B64" s="15"/>
      <c r="C64" s="6"/>
      <c r="D64" s="6"/>
      <c r="E64" s="6"/>
      <c r="F64" s="82"/>
      <c r="G64" s="47" t="s">
        <v>202</v>
      </c>
      <c r="H64" s="48" t="s">
        <v>124</v>
      </c>
      <c r="I64" s="49">
        <f>30*50</f>
        <v>1500</v>
      </c>
      <c r="J64" s="43"/>
    </row>
    <row r="65" spans="1:10">
      <c r="A65" s="20"/>
      <c r="B65" s="15"/>
      <c r="C65" s="6"/>
      <c r="D65" s="6"/>
      <c r="E65" s="6"/>
      <c r="F65" s="82"/>
      <c r="G65" s="47" t="s">
        <v>252</v>
      </c>
      <c r="H65" s="48" t="s">
        <v>27</v>
      </c>
      <c r="I65" s="49">
        <f>6300</f>
        <v>6300</v>
      </c>
      <c r="J65" s="43"/>
    </row>
    <row r="66" spans="1:10" s="12" customFormat="1">
      <c r="A66" s="114"/>
      <c r="B66" s="115"/>
      <c r="C66" s="116"/>
      <c r="D66" s="116"/>
      <c r="E66" s="116"/>
      <c r="F66" s="117"/>
      <c r="G66" s="47" t="s">
        <v>251</v>
      </c>
      <c r="H66" s="48" t="s">
        <v>27</v>
      </c>
      <c r="I66" s="49">
        <f>10000*5</f>
        <v>50000</v>
      </c>
      <c r="J66" s="50"/>
    </row>
    <row r="67" spans="1:10" s="12" customFormat="1">
      <c r="A67" s="114"/>
      <c r="B67" s="115"/>
      <c r="C67" s="116"/>
      <c r="D67" s="116"/>
      <c r="E67" s="116"/>
      <c r="F67" s="117"/>
      <c r="G67" s="102" t="s">
        <v>113</v>
      </c>
      <c r="H67" s="111"/>
      <c r="I67" s="104">
        <f>SUM(I68:I80)</f>
        <v>890200</v>
      </c>
      <c r="J67" s="55"/>
    </row>
    <row r="68" spans="1:10" s="12" customFormat="1">
      <c r="A68" s="114"/>
      <c r="B68" s="115"/>
      <c r="C68" s="116"/>
      <c r="D68" s="116"/>
      <c r="E68" s="116"/>
      <c r="F68" s="117"/>
      <c r="G68" s="47" t="s">
        <v>246</v>
      </c>
      <c r="H68" s="48" t="s">
        <v>27</v>
      </c>
      <c r="I68" s="49">
        <f>5500*12</f>
        <v>66000</v>
      </c>
      <c r="J68" s="50"/>
    </row>
    <row r="69" spans="1:10" s="12" customFormat="1">
      <c r="A69" s="114"/>
      <c r="B69" s="115"/>
      <c r="C69" s="116"/>
      <c r="D69" s="116"/>
      <c r="E69" s="116"/>
      <c r="F69" s="117"/>
      <c r="G69" s="47" t="s">
        <v>325</v>
      </c>
      <c r="H69" s="48" t="s">
        <v>27</v>
      </c>
      <c r="I69" s="49">
        <f>25000*12</f>
        <v>300000</v>
      </c>
      <c r="J69" s="50"/>
    </row>
    <row r="70" spans="1:10" s="12" customFormat="1">
      <c r="A70" s="114"/>
      <c r="B70" s="115"/>
      <c r="C70" s="116"/>
      <c r="D70" s="116"/>
      <c r="E70" s="116"/>
      <c r="F70" s="117"/>
      <c r="G70" s="47" t="s">
        <v>179</v>
      </c>
      <c r="H70" s="48" t="s">
        <v>27</v>
      </c>
      <c r="I70" s="49">
        <f>500*12</f>
        <v>6000</v>
      </c>
      <c r="J70" s="50"/>
    </row>
    <row r="71" spans="1:10" s="12" customFormat="1" ht="15.75" customHeight="1">
      <c r="A71" s="114"/>
      <c r="B71" s="115"/>
      <c r="C71" s="116"/>
      <c r="D71" s="116"/>
      <c r="E71" s="116"/>
      <c r="F71" s="117"/>
      <c r="G71" s="47" t="s">
        <v>205</v>
      </c>
      <c r="H71" s="48" t="s">
        <v>27</v>
      </c>
      <c r="I71" s="49">
        <f>150*12</f>
        <v>1800</v>
      </c>
      <c r="J71" s="50"/>
    </row>
    <row r="72" spans="1:10" s="12" customFormat="1">
      <c r="A72" s="114"/>
      <c r="B72" s="115"/>
      <c r="C72" s="116"/>
      <c r="D72" s="116"/>
      <c r="E72" s="116"/>
      <c r="F72" s="117"/>
      <c r="G72" s="47" t="s">
        <v>212</v>
      </c>
      <c r="H72" s="48" t="s">
        <v>27</v>
      </c>
      <c r="I72" s="49">
        <f>12000*10</f>
        <v>120000</v>
      </c>
      <c r="J72" s="50"/>
    </row>
    <row r="73" spans="1:10" s="12" customFormat="1">
      <c r="A73" s="114"/>
      <c r="B73" s="115"/>
      <c r="C73" s="116"/>
      <c r="D73" s="116"/>
      <c r="E73" s="116"/>
      <c r="F73" s="117"/>
      <c r="G73" s="47" t="s">
        <v>240</v>
      </c>
      <c r="H73" s="48" t="s">
        <v>27</v>
      </c>
      <c r="I73" s="49">
        <f>15000*10</f>
        <v>150000</v>
      </c>
      <c r="J73" s="50"/>
    </row>
    <row r="74" spans="1:10" s="12" customFormat="1">
      <c r="A74" s="114"/>
      <c r="B74" s="115"/>
      <c r="C74" s="116"/>
      <c r="D74" s="116"/>
      <c r="E74" s="116"/>
      <c r="F74" s="117"/>
      <c r="G74" s="47" t="s">
        <v>206</v>
      </c>
      <c r="H74" s="48" t="s">
        <v>27</v>
      </c>
      <c r="I74" s="49">
        <f>2000*4</f>
        <v>8000</v>
      </c>
      <c r="J74" s="50"/>
    </row>
    <row r="75" spans="1:10" s="12" customFormat="1">
      <c r="A75" s="114"/>
      <c r="B75" s="115"/>
      <c r="C75" s="116"/>
      <c r="D75" s="116"/>
      <c r="E75" s="116"/>
      <c r="F75" s="117"/>
      <c r="G75" s="47" t="s">
        <v>139</v>
      </c>
      <c r="H75" s="48" t="s">
        <v>27</v>
      </c>
      <c r="I75" s="49">
        <f>8000*12</f>
        <v>96000</v>
      </c>
      <c r="J75" s="50"/>
    </row>
    <row r="76" spans="1:10" s="12" customFormat="1">
      <c r="A76" s="114"/>
      <c r="B76" s="115"/>
      <c r="C76" s="116"/>
      <c r="D76" s="116"/>
      <c r="E76" s="116"/>
      <c r="F76" s="117"/>
      <c r="G76" s="47" t="s">
        <v>228</v>
      </c>
      <c r="H76" s="48" t="s">
        <v>27</v>
      </c>
      <c r="I76" s="49">
        <f>2000*3</f>
        <v>6000</v>
      </c>
      <c r="J76" s="50"/>
    </row>
    <row r="77" spans="1:10" s="12" customFormat="1">
      <c r="A77" s="114"/>
      <c r="B77" s="115"/>
      <c r="C77" s="116"/>
      <c r="D77" s="116"/>
      <c r="E77" s="116"/>
      <c r="F77" s="117"/>
      <c r="G77" s="47" t="s">
        <v>241</v>
      </c>
      <c r="H77" s="48" t="s">
        <v>27</v>
      </c>
      <c r="I77" s="49">
        <f>12000*1</f>
        <v>12000</v>
      </c>
      <c r="J77" s="50"/>
    </row>
    <row r="78" spans="1:10" s="12" customFormat="1">
      <c r="A78" s="114"/>
      <c r="B78" s="115"/>
      <c r="C78" s="116"/>
      <c r="D78" s="116"/>
      <c r="E78" s="116"/>
      <c r="F78" s="117"/>
      <c r="G78" s="47" t="s">
        <v>279</v>
      </c>
      <c r="H78" s="48" t="s">
        <v>27</v>
      </c>
      <c r="I78" s="49">
        <f>3000*12</f>
        <v>36000</v>
      </c>
      <c r="J78" s="50"/>
    </row>
    <row r="79" spans="1:10" s="12" customFormat="1">
      <c r="A79" s="114"/>
      <c r="B79" s="115"/>
      <c r="C79" s="116"/>
      <c r="D79" s="116"/>
      <c r="E79" s="116"/>
      <c r="F79" s="117"/>
      <c r="G79" s="47" t="s">
        <v>229</v>
      </c>
      <c r="H79" s="48" t="s">
        <v>27</v>
      </c>
      <c r="I79" s="49">
        <f>3200*12</f>
        <v>38400</v>
      </c>
      <c r="J79" s="50"/>
    </row>
    <row r="80" spans="1:10" s="12" customFormat="1">
      <c r="A80" s="114"/>
      <c r="B80" s="115"/>
      <c r="C80" s="116"/>
      <c r="D80" s="116"/>
      <c r="E80" s="116"/>
      <c r="F80" s="117"/>
      <c r="G80" s="47" t="s">
        <v>280</v>
      </c>
      <c r="H80" s="48" t="s">
        <v>27</v>
      </c>
      <c r="I80" s="49">
        <f>50000</f>
        <v>50000</v>
      </c>
      <c r="J80" s="50"/>
    </row>
    <row r="81" spans="1:10">
      <c r="A81" s="20"/>
      <c r="B81" s="15"/>
      <c r="C81" s="6"/>
      <c r="D81" s="6"/>
      <c r="E81" s="6"/>
      <c r="F81" s="82"/>
      <c r="G81" s="102" t="s">
        <v>118</v>
      </c>
      <c r="H81" s="111"/>
      <c r="I81" s="104">
        <f>SUM(I82)</f>
        <v>84000</v>
      </c>
      <c r="J81" s="42"/>
    </row>
    <row r="82" spans="1:10" s="12" customFormat="1">
      <c r="A82" s="114"/>
      <c r="B82" s="115"/>
      <c r="C82" s="116"/>
      <c r="D82" s="116"/>
      <c r="E82" s="116"/>
      <c r="F82" s="117"/>
      <c r="G82" s="47" t="s">
        <v>281</v>
      </c>
      <c r="H82" s="48" t="s">
        <v>27</v>
      </c>
      <c r="I82" s="49">
        <f>1000*7*12</f>
        <v>84000</v>
      </c>
      <c r="J82" s="50"/>
    </row>
    <row r="83" spans="1:10">
      <c r="A83" s="20"/>
      <c r="B83" s="15"/>
      <c r="C83" s="6"/>
      <c r="D83" s="6"/>
      <c r="E83" s="6"/>
      <c r="F83" s="82"/>
      <c r="G83" s="102" t="s">
        <v>119</v>
      </c>
      <c r="H83" s="111"/>
      <c r="I83" s="104"/>
      <c r="J83" s="42"/>
    </row>
    <row r="84" spans="1:10" s="12" customFormat="1">
      <c r="A84" s="114"/>
      <c r="B84" s="115"/>
      <c r="C84" s="116"/>
      <c r="D84" s="116"/>
      <c r="E84" s="116"/>
      <c r="F84" s="117"/>
      <c r="G84" s="102" t="s">
        <v>120</v>
      </c>
      <c r="H84" s="111"/>
      <c r="I84" s="104">
        <f>SUM(I85:I85)</f>
        <v>61668</v>
      </c>
      <c r="J84" s="55"/>
    </row>
    <row r="85" spans="1:10" s="12" customFormat="1">
      <c r="A85" s="114"/>
      <c r="B85" s="115"/>
      <c r="C85" s="116"/>
      <c r="D85" s="116"/>
      <c r="E85" s="116"/>
      <c r="F85" s="117"/>
      <c r="G85" s="47" t="s">
        <v>174</v>
      </c>
      <c r="H85" s="48" t="s">
        <v>27</v>
      </c>
      <c r="I85" s="49">
        <f>61668</f>
        <v>61668</v>
      </c>
      <c r="J85" s="50"/>
    </row>
    <row r="86" spans="1:10" s="12" customFormat="1" ht="16.5" customHeight="1">
      <c r="A86" s="139"/>
      <c r="B86" s="371" t="s">
        <v>44</v>
      </c>
      <c r="C86" s="121">
        <v>2654369</v>
      </c>
      <c r="D86" s="121"/>
      <c r="E86" s="121">
        <f>SUM(I86,I92,I95,I97,I106,I115,I117,I126,I130,I133,I140,I145)</f>
        <v>2806199</v>
      </c>
      <c r="F86" s="122">
        <f>E86-C86</f>
        <v>151830</v>
      </c>
      <c r="G86" s="102" t="s">
        <v>30</v>
      </c>
      <c r="H86" s="111"/>
      <c r="I86" s="104">
        <f>SUM(I87:I91)</f>
        <v>297100</v>
      </c>
      <c r="J86" s="127"/>
    </row>
    <row r="87" spans="1:10" s="9" customFormat="1">
      <c r="A87" s="140"/>
      <c r="B87" s="372"/>
      <c r="C87" s="244"/>
      <c r="D87" s="244"/>
      <c r="E87" s="244"/>
      <c r="F87" s="244"/>
      <c r="G87" s="47" t="s">
        <v>266</v>
      </c>
      <c r="H87" s="48" t="s">
        <v>34</v>
      </c>
      <c r="I87" s="49">
        <f>5327*40+20+34000</f>
        <v>247100</v>
      </c>
      <c r="J87" s="50"/>
    </row>
    <row r="88" spans="1:10" s="9" customFormat="1">
      <c r="A88" s="140"/>
      <c r="B88" s="301"/>
      <c r="C88" s="244"/>
      <c r="D88" s="244"/>
      <c r="E88" s="244"/>
      <c r="F88" s="244"/>
      <c r="G88" s="47" t="s">
        <v>203</v>
      </c>
      <c r="H88" s="48" t="s">
        <v>27</v>
      </c>
      <c r="I88" s="49">
        <f>2000*5</f>
        <v>10000</v>
      </c>
      <c r="J88" s="50"/>
    </row>
    <row r="89" spans="1:10" s="9" customFormat="1">
      <c r="A89" s="140"/>
      <c r="B89" s="301"/>
      <c r="C89" s="244"/>
      <c r="D89" s="244"/>
      <c r="E89" s="244"/>
      <c r="F89" s="244"/>
      <c r="G89" s="47" t="s">
        <v>204</v>
      </c>
      <c r="H89" s="48" t="s">
        <v>27</v>
      </c>
      <c r="I89" s="49">
        <f>5000*2</f>
        <v>10000</v>
      </c>
      <c r="J89" s="50"/>
    </row>
    <row r="90" spans="1:10" s="9" customFormat="1">
      <c r="A90" s="140"/>
      <c r="B90" s="301"/>
      <c r="C90" s="244"/>
      <c r="D90" s="244"/>
      <c r="E90" s="244"/>
      <c r="F90" s="244"/>
      <c r="G90" s="47" t="s">
        <v>227</v>
      </c>
      <c r="H90" s="48" t="s">
        <v>27</v>
      </c>
      <c r="I90" s="49">
        <v>24000</v>
      </c>
      <c r="J90" s="43"/>
    </row>
    <row r="91" spans="1:10" s="12" customFormat="1">
      <c r="A91" s="140"/>
      <c r="B91" s="141"/>
      <c r="C91" s="116"/>
      <c r="D91" s="116"/>
      <c r="E91" s="116"/>
      <c r="F91" s="117"/>
      <c r="G91" s="47" t="s">
        <v>197</v>
      </c>
      <c r="H91" s="48" t="s">
        <v>27</v>
      </c>
      <c r="I91" s="49">
        <f>150*40</f>
        <v>6000</v>
      </c>
      <c r="J91" s="50"/>
    </row>
    <row r="92" spans="1:10">
      <c r="A92" s="20"/>
      <c r="B92" s="15"/>
      <c r="C92" s="6"/>
      <c r="D92" s="6"/>
      <c r="E92" s="6"/>
      <c r="F92" s="82"/>
      <c r="G92" s="102" t="s">
        <v>125</v>
      </c>
      <c r="H92" s="111"/>
      <c r="I92" s="104">
        <f>SUM(I93:I94)</f>
        <v>117000</v>
      </c>
      <c r="J92" s="46"/>
    </row>
    <row r="93" spans="1:10" s="12" customFormat="1">
      <c r="A93" s="114"/>
      <c r="B93" s="115"/>
      <c r="C93" s="116"/>
      <c r="D93" s="116"/>
      <c r="E93" s="116"/>
      <c r="F93" s="117"/>
      <c r="G93" s="47" t="s">
        <v>230</v>
      </c>
      <c r="H93" s="48" t="s">
        <v>27</v>
      </c>
      <c r="I93" s="49">
        <f>600*15</f>
        <v>9000</v>
      </c>
      <c r="J93" s="50"/>
    </row>
    <row r="94" spans="1:10" s="12" customFormat="1">
      <c r="A94" s="114"/>
      <c r="B94" s="115"/>
      <c r="C94" s="116"/>
      <c r="D94" s="116"/>
      <c r="E94" s="116"/>
      <c r="F94" s="117"/>
      <c r="G94" s="47" t="s">
        <v>196</v>
      </c>
      <c r="H94" s="48" t="s">
        <v>27</v>
      </c>
      <c r="I94" s="49">
        <f>900*3*40</f>
        <v>108000</v>
      </c>
      <c r="J94" s="50"/>
    </row>
    <row r="95" spans="1:10" s="12" customFormat="1">
      <c r="A95" s="114"/>
      <c r="B95" s="115"/>
      <c r="C95" s="116"/>
      <c r="D95" s="116"/>
      <c r="E95" s="116"/>
      <c r="F95" s="117"/>
      <c r="G95" s="102" t="s">
        <v>126</v>
      </c>
      <c r="H95" s="111"/>
      <c r="I95" s="104">
        <f>SUM(I96:I96)</f>
        <v>0</v>
      </c>
      <c r="J95" s="127"/>
    </row>
    <row r="96" spans="1:10" s="12" customFormat="1">
      <c r="A96" s="114"/>
      <c r="B96" s="115"/>
      <c r="C96" s="116"/>
      <c r="D96" s="116"/>
      <c r="E96" s="116"/>
      <c r="F96" s="117"/>
      <c r="G96" s="51"/>
      <c r="H96" s="52" t="s">
        <v>27</v>
      </c>
      <c r="I96" s="53"/>
      <c r="J96" s="54"/>
    </row>
    <row r="97" spans="1:10" s="12" customFormat="1">
      <c r="A97" s="114"/>
      <c r="B97" s="115"/>
      <c r="C97" s="116"/>
      <c r="D97" s="116"/>
      <c r="E97" s="116"/>
      <c r="F97" s="117"/>
      <c r="G97" s="102" t="s">
        <v>127</v>
      </c>
      <c r="H97" s="111"/>
      <c r="I97" s="104">
        <f>SUM(I98:I105)</f>
        <v>1172200</v>
      </c>
      <c r="J97" s="55"/>
    </row>
    <row r="98" spans="1:10" s="12" customFormat="1">
      <c r="A98" s="114"/>
      <c r="B98" s="115"/>
      <c r="C98" s="116"/>
      <c r="D98" s="116"/>
      <c r="E98" s="116"/>
      <c r="F98" s="117"/>
      <c r="G98" s="47" t="s">
        <v>187</v>
      </c>
      <c r="H98" s="48" t="s">
        <v>27</v>
      </c>
      <c r="I98" s="49">
        <f>650*4*2*180</f>
        <v>936000</v>
      </c>
      <c r="J98" s="50"/>
    </row>
    <row r="99" spans="1:10" s="12" customFormat="1">
      <c r="A99" s="114"/>
      <c r="B99" s="115"/>
      <c r="C99" s="116"/>
      <c r="D99" s="116"/>
      <c r="E99" s="116"/>
      <c r="F99" s="117"/>
      <c r="G99" s="47" t="s">
        <v>188</v>
      </c>
      <c r="H99" s="48" t="s">
        <v>34</v>
      </c>
      <c r="I99" s="49">
        <f>650*1*1*180</f>
        <v>117000</v>
      </c>
      <c r="J99" s="50"/>
    </row>
    <row r="100" spans="1:10" s="12" customFormat="1">
      <c r="A100" s="114"/>
      <c r="B100" s="115"/>
      <c r="C100" s="116"/>
      <c r="D100" s="116"/>
      <c r="E100" s="116"/>
      <c r="F100" s="117"/>
      <c r="G100" s="47" t="s">
        <v>237</v>
      </c>
      <c r="H100" s="48" t="s">
        <v>27</v>
      </c>
      <c r="I100" s="49">
        <f>2000*1*12</f>
        <v>24000</v>
      </c>
      <c r="J100" s="50"/>
    </row>
    <row r="101" spans="1:10" s="12" customFormat="1">
      <c r="A101" s="114"/>
      <c r="B101" s="115"/>
      <c r="C101" s="116"/>
      <c r="D101" s="116"/>
      <c r="E101" s="116"/>
      <c r="F101" s="117"/>
      <c r="G101" s="47" t="s">
        <v>324</v>
      </c>
      <c r="H101" s="48" t="s">
        <v>27</v>
      </c>
      <c r="I101" s="49">
        <f>2000*12</f>
        <v>24000</v>
      </c>
      <c r="J101" s="50"/>
    </row>
    <row r="102" spans="1:10">
      <c r="A102" s="20"/>
      <c r="B102" s="15"/>
      <c r="C102" s="6"/>
      <c r="D102" s="6"/>
      <c r="E102" s="6"/>
      <c r="F102" s="82"/>
      <c r="G102" s="47" t="s">
        <v>215</v>
      </c>
      <c r="H102" s="48" t="s">
        <v>27</v>
      </c>
      <c r="I102" s="49">
        <f>100*45*2</f>
        <v>9000</v>
      </c>
      <c r="J102" s="50"/>
    </row>
    <row r="103" spans="1:10" s="12" customFormat="1">
      <c r="A103" s="114"/>
      <c r="B103" s="115"/>
      <c r="C103" s="116"/>
      <c r="D103" s="116"/>
      <c r="E103" s="116"/>
      <c r="F103" s="117"/>
      <c r="G103" s="47" t="s">
        <v>214</v>
      </c>
      <c r="H103" s="48" t="s">
        <v>27</v>
      </c>
      <c r="I103" s="49">
        <f>10*45*6</f>
        <v>2700</v>
      </c>
      <c r="J103" s="50"/>
    </row>
    <row r="104" spans="1:10" s="12" customFormat="1">
      <c r="A104" s="114"/>
      <c r="B104" s="115"/>
      <c r="C104" s="116"/>
      <c r="D104" s="116"/>
      <c r="E104" s="116"/>
      <c r="F104" s="117"/>
      <c r="G104" s="47" t="s">
        <v>213</v>
      </c>
      <c r="H104" s="48" t="s">
        <v>27</v>
      </c>
      <c r="I104" s="49">
        <f>1300*45</f>
        <v>58500</v>
      </c>
      <c r="J104" s="50"/>
    </row>
    <row r="105" spans="1:10" s="12" customFormat="1">
      <c r="A105" s="114"/>
      <c r="B105" s="115"/>
      <c r="C105" s="116"/>
      <c r="D105" s="116"/>
      <c r="E105" s="116"/>
      <c r="F105" s="117"/>
      <c r="G105" s="51" t="s">
        <v>216</v>
      </c>
      <c r="H105" s="52" t="s">
        <v>27</v>
      </c>
      <c r="I105" s="53">
        <f>1000*1</f>
        <v>1000</v>
      </c>
      <c r="J105" s="54"/>
    </row>
    <row r="106" spans="1:10">
      <c r="A106" s="20"/>
      <c r="B106" s="15"/>
      <c r="C106" s="6"/>
      <c r="D106" s="6"/>
      <c r="E106" s="6"/>
      <c r="F106" s="82"/>
      <c r="G106" s="102" t="s">
        <v>128</v>
      </c>
      <c r="H106" s="111"/>
      <c r="I106" s="104">
        <f>SUM(I107:I114)</f>
        <v>845100</v>
      </c>
      <c r="J106" s="55"/>
    </row>
    <row r="107" spans="1:10">
      <c r="A107" s="20"/>
      <c r="B107" s="15"/>
      <c r="C107" s="6"/>
      <c r="D107" s="6"/>
      <c r="E107" s="6"/>
      <c r="F107" s="82"/>
      <c r="G107" s="47" t="s">
        <v>217</v>
      </c>
      <c r="H107" s="48" t="s">
        <v>27</v>
      </c>
      <c r="I107" s="49">
        <f>600*4*2*143</f>
        <v>686400</v>
      </c>
      <c r="J107" s="50"/>
    </row>
    <row r="108" spans="1:10">
      <c r="A108" s="20"/>
      <c r="B108" s="15"/>
      <c r="C108" s="6"/>
      <c r="D108" s="6"/>
      <c r="E108" s="6"/>
      <c r="F108" s="82"/>
      <c r="G108" s="47" t="s">
        <v>218</v>
      </c>
      <c r="H108" s="48" t="s">
        <v>180</v>
      </c>
      <c r="I108" s="49">
        <f>600*1*143</f>
        <v>85800</v>
      </c>
      <c r="J108" s="50"/>
    </row>
    <row r="109" spans="1:10" s="12" customFormat="1">
      <c r="A109" s="114"/>
      <c r="B109" s="115"/>
      <c r="C109" s="116"/>
      <c r="D109" s="116"/>
      <c r="E109" s="116"/>
      <c r="F109" s="117"/>
      <c r="G109" s="47" t="s">
        <v>237</v>
      </c>
      <c r="H109" s="48" t="s">
        <v>27</v>
      </c>
      <c r="I109" s="49">
        <f>2000*1*12</f>
        <v>24000</v>
      </c>
      <c r="J109" s="50"/>
    </row>
    <row r="110" spans="1:10">
      <c r="A110" s="20"/>
      <c r="B110" s="15"/>
      <c r="C110" s="6"/>
      <c r="D110" s="6"/>
      <c r="E110" s="6"/>
      <c r="F110" s="82"/>
      <c r="G110" s="47" t="s">
        <v>215</v>
      </c>
      <c r="H110" s="48" t="s">
        <v>27</v>
      </c>
      <c r="I110" s="49">
        <f>100*45*2</f>
        <v>9000</v>
      </c>
      <c r="J110" s="50"/>
    </row>
    <row r="111" spans="1:10">
      <c r="A111" s="20"/>
      <c r="B111" s="15"/>
      <c r="C111" s="6"/>
      <c r="D111" s="6"/>
      <c r="E111" s="6"/>
      <c r="F111" s="82"/>
      <c r="G111" s="47" t="s">
        <v>220</v>
      </c>
      <c r="H111" s="48" t="s">
        <v>27</v>
      </c>
      <c r="I111" s="49">
        <f>10*45*6</f>
        <v>2700</v>
      </c>
      <c r="J111" s="50"/>
    </row>
    <row r="112" spans="1:10" ht="17.25" customHeight="1">
      <c r="A112" s="20"/>
      <c r="B112" s="15"/>
      <c r="C112" s="6"/>
      <c r="D112" s="6"/>
      <c r="E112" s="6"/>
      <c r="F112" s="82"/>
      <c r="G112" s="47" t="s">
        <v>219</v>
      </c>
      <c r="H112" s="48" t="s">
        <v>27</v>
      </c>
      <c r="I112" s="49">
        <f>400*90</f>
        <v>36000</v>
      </c>
      <c r="J112" s="50"/>
    </row>
    <row r="113" spans="1:10" ht="17.25" customHeight="1">
      <c r="A113" s="20"/>
      <c r="B113" s="15"/>
      <c r="C113" s="6"/>
      <c r="D113" s="6"/>
      <c r="E113" s="6"/>
      <c r="F113" s="82"/>
      <c r="G113" s="47" t="s">
        <v>216</v>
      </c>
      <c r="H113" s="48" t="s">
        <v>27</v>
      </c>
      <c r="I113" s="49">
        <f>1000*1</f>
        <v>1000</v>
      </c>
      <c r="J113" s="50"/>
    </row>
    <row r="114" spans="1:10">
      <c r="A114" s="20"/>
      <c r="B114" s="15"/>
      <c r="C114" s="6"/>
      <c r="D114" s="6"/>
      <c r="E114" s="6"/>
      <c r="F114" s="82"/>
      <c r="G114" s="47" t="s">
        <v>140</v>
      </c>
      <c r="H114" s="48" t="s">
        <v>27</v>
      </c>
      <c r="I114" s="49">
        <v>200</v>
      </c>
      <c r="J114" s="50"/>
    </row>
    <row r="115" spans="1:10" ht="16.5" customHeight="1">
      <c r="A115" s="20"/>
      <c r="B115" s="15"/>
      <c r="C115" s="6"/>
      <c r="D115" s="6"/>
      <c r="E115" s="6"/>
      <c r="F115" s="82"/>
      <c r="G115" s="102" t="s">
        <v>129</v>
      </c>
      <c r="H115" s="111"/>
      <c r="I115" s="104">
        <f>SUM(I116:I116)</f>
        <v>20000</v>
      </c>
      <c r="J115" s="42"/>
    </row>
    <row r="116" spans="1:10" s="12" customFormat="1" ht="16.5" customHeight="1">
      <c r="A116" s="114"/>
      <c r="B116" s="115"/>
      <c r="C116" s="116"/>
      <c r="D116" s="116"/>
      <c r="E116" s="116"/>
      <c r="F116" s="117"/>
      <c r="G116" s="47" t="s">
        <v>287</v>
      </c>
      <c r="H116" s="48" t="s">
        <v>27</v>
      </c>
      <c r="I116" s="49">
        <f>1000*20</f>
        <v>20000</v>
      </c>
      <c r="J116" s="50"/>
    </row>
    <row r="117" spans="1:10">
      <c r="A117" s="20"/>
      <c r="B117" s="15"/>
      <c r="C117" s="6"/>
      <c r="D117" s="6"/>
      <c r="E117" s="6"/>
      <c r="F117" s="82"/>
      <c r="G117" s="102" t="s">
        <v>130</v>
      </c>
      <c r="H117" s="111"/>
      <c r="I117" s="104">
        <f>SUM(I118:I125)</f>
        <v>51000</v>
      </c>
      <c r="J117" s="42"/>
    </row>
    <row r="118" spans="1:10" s="12" customFormat="1">
      <c r="A118" s="114"/>
      <c r="B118" s="115"/>
      <c r="C118" s="116"/>
      <c r="D118" s="116"/>
      <c r="E118" s="116"/>
      <c r="F118" s="117"/>
      <c r="G118" s="47" t="s">
        <v>141</v>
      </c>
      <c r="H118" s="48" t="s">
        <v>27</v>
      </c>
      <c r="I118" s="49">
        <f>200*40*2</f>
        <v>16000</v>
      </c>
      <c r="J118" s="50"/>
    </row>
    <row r="119" spans="1:10">
      <c r="A119" s="20"/>
      <c r="B119" s="15"/>
      <c r="C119" s="6"/>
      <c r="D119" s="6"/>
      <c r="E119" s="6"/>
      <c r="F119" s="82"/>
      <c r="G119" s="47" t="s">
        <v>142</v>
      </c>
      <c r="H119" s="48" t="s">
        <v>27</v>
      </c>
      <c r="I119" s="49">
        <v>3000</v>
      </c>
      <c r="J119" s="43"/>
    </row>
    <row r="120" spans="1:10">
      <c r="A120" s="20"/>
      <c r="B120" s="15"/>
      <c r="C120" s="6"/>
      <c r="D120" s="6"/>
      <c r="E120" s="6"/>
      <c r="F120" s="82"/>
      <c r="G120" s="47" t="s">
        <v>221</v>
      </c>
      <c r="H120" s="48" t="s">
        <v>27</v>
      </c>
      <c r="I120" s="49">
        <f>4000*1</f>
        <v>4000</v>
      </c>
      <c r="J120" s="43"/>
    </row>
    <row r="121" spans="1:10">
      <c r="A121" s="20"/>
      <c r="B121" s="15"/>
      <c r="C121" s="6"/>
      <c r="D121" s="6"/>
      <c r="E121" s="6"/>
      <c r="F121" s="82"/>
      <c r="G121" s="47" t="s">
        <v>154</v>
      </c>
      <c r="H121" s="48" t="s">
        <v>27</v>
      </c>
      <c r="I121" s="49">
        <v>16000</v>
      </c>
      <c r="J121" s="43"/>
    </row>
    <row r="122" spans="1:10" s="12" customFormat="1">
      <c r="A122" s="114"/>
      <c r="B122" s="115"/>
      <c r="C122" s="116"/>
      <c r="D122" s="116"/>
      <c r="E122" s="116"/>
      <c r="F122" s="117"/>
      <c r="G122" s="47" t="s">
        <v>194</v>
      </c>
      <c r="H122" s="48" t="s">
        <v>27</v>
      </c>
      <c r="I122" s="49">
        <f>200*45</f>
        <v>9000</v>
      </c>
      <c r="J122" s="50"/>
    </row>
    <row r="123" spans="1:10" s="12" customFormat="1">
      <c r="A123" s="114"/>
      <c r="B123" s="115"/>
      <c r="C123" s="116"/>
      <c r="D123" s="116"/>
      <c r="E123" s="116"/>
      <c r="F123" s="117"/>
      <c r="G123" s="47" t="s">
        <v>195</v>
      </c>
      <c r="H123" s="48" t="s">
        <v>27</v>
      </c>
      <c r="I123" s="49">
        <f>2000*1</f>
        <v>2000</v>
      </c>
      <c r="J123" s="50"/>
    </row>
    <row r="124" spans="1:10" s="12" customFormat="1">
      <c r="A124" s="114"/>
      <c r="B124" s="115"/>
      <c r="C124" s="116"/>
      <c r="D124" s="116"/>
      <c r="E124" s="116"/>
      <c r="F124" s="117"/>
      <c r="G124" s="47" t="s">
        <v>151</v>
      </c>
      <c r="H124" s="48" t="s">
        <v>27</v>
      </c>
      <c r="I124" s="49">
        <v>1000</v>
      </c>
      <c r="J124" s="50"/>
    </row>
    <row r="125" spans="1:10">
      <c r="A125" s="20"/>
      <c r="B125" s="15"/>
      <c r="C125" s="6"/>
      <c r="D125" s="6"/>
      <c r="E125" s="6"/>
      <c r="F125" s="82"/>
      <c r="G125" s="47"/>
      <c r="H125" s="48"/>
      <c r="I125" s="49"/>
      <c r="J125" s="43"/>
    </row>
    <row r="126" spans="1:10" s="12" customFormat="1">
      <c r="A126" s="114"/>
      <c r="B126" s="115"/>
      <c r="C126" s="116"/>
      <c r="D126" s="116"/>
      <c r="E126" s="116"/>
      <c r="F126" s="117"/>
      <c r="G126" s="102" t="s">
        <v>131</v>
      </c>
      <c r="H126" s="111"/>
      <c r="I126" s="104">
        <f>SUM(I127:I129)</f>
        <v>12500</v>
      </c>
      <c r="J126" s="55"/>
    </row>
    <row r="127" spans="1:10" s="12" customFormat="1">
      <c r="A127" s="114"/>
      <c r="B127" s="115"/>
      <c r="C127" s="116"/>
      <c r="D127" s="116"/>
      <c r="E127" s="116"/>
      <c r="F127" s="117"/>
      <c r="G127" s="47" t="s">
        <v>288</v>
      </c>
      <c r="H127" s="48" t="s">
        <v>27</v>
      </c>
      <c r="I127" s="49">
        <f>400*20</f>
        <v>8000</v>
      </c>
      <c r="J127" s="50"/>
    </row>
    <row r="128" spans="1:10" s="12" customFormat="1">
      <c r="A128" s="114"/>
      <c r="B128" s="115"/>
      <c r="C128" s="116"/>
      <c r="D128" s="116"/>
      <c r="E128" s="116"/>
      <c r="F128" s="117"/>
      <c r="G128" s="47" t="s">
        <v>289</v>
      </c>
      <c r="H128" s="48" t="s">
        <v>27</v>
      </c>
      <c r="I128" s="49">
        <f>200*20</f>
        <v>4000</v>
      </c>
      <c r="J128" s="50"/>
    </row>
    <row r="129" spans="1:10" s="12" customFormat="1">
      <c r="A129" s="114"/>
      <c r="B129" s="115"/>
      <c r="C129" s="116"/>
      <c r="D129" s="116"/>
      <c r="E129" s="116"/>
      <c r="F129" s="117"/>
      <c r="G129" s="47" t="s">
        <v>143</v>
      </c>
      <c r="H129" s="48" t="s">
        <v>27</v>
      </c>
      <c r="I129" s="49">
        <v>500</v>
      </c>
      <c r="J129" s="50"/>
    </row>
    <row r="130" spans="1:10" ht="16.5" customHeight="1">
      <c r="A130" s="20" t="s">
        <v>31</v>
      </c>
      <c r="B130" s="15"/>
      <c r="C130" s="6"/>
      <c r="D130" s="6"/>
      <c r="E130" s="6"/>
      <c r="F130" s="82"/>
      <c r="G130" s="102" t="s">
        <v>100</v>
      </c>
      <c r="H130" s="111"/>
      <c r="I130" s="104">
        <f>SUM(I131:I132)</f>
        <v>4000</v>
      </c>
      <c r="J130" s="46"/>
    </row>
    <row r="131" spans="1:10" s="12" customFormat="1">
      <c r="A131" s="114"/>
      <c r="B131" s="115"/>
      <c r="C131" s="116"/>
      <c r="D131" s="116"/>
      <c r="E131" s="116"/>
      <c r="F131" s="117"/>
      <c r="G131" s="47" t="s">
        <v>147</v>
      </c>
      <c r="H131" s="48" t="s">
        <v>27</v>
      </c>
      <c r="I131" s="49">
        <v>4000</v>
      </c>
      <c r="J131" s="50"/>
    </row>
    <row r="132" spans="1:10" s="12" customFormat="1">
      <c r="A132" s="114"/>
      <c r="B132" s="115"/>
      <c r="C132" s="116"/>
      <c r="D132" s="116"/>
      <c r="E132" s="116"/>
      <c r="F132" s="117"/>
      <c r="G132" s="47"/>
      <c r="H132" s="48"/>
      <c r="I132" s="49"/>
      <c r="J132" s="50"/>
    </row>
    <row r="133" spans="1:10">
      <c r="A133" s="20"/>
      <c r="B133" s="15"/>
      <c r="C133" s="6"/>
      <c r="D133" s="6"/>
      <c r="E133" s="6"/>
      <c r="F133" s="82"/>
      <c r="G133" s="102" t="s">
        <v>136</v>
      </c>
      <c r="H133" s="111"/>
      <c r="I133" s="104">
        <f>SUM(I134:I139)</f>
        <v>11701</v>
      </c>
      <c r="J133" s="42"/>
    </row>
    <row r="134" spans="1:10">
      <c r="A134" s="20"/>
      <c r="B134" s="15"/>
      <c r="C134" s="6"/>
      <c r="D134" s="6"/>
      <c r="E134" s="6"/>
      <c r="F134" s="82"/>
      <c r="G134" s="47" t="s">
        <v>247</v>
      </c>
      <c r="H134" s="48" t="s">
        <v>27</v>
      </c>
      <c r="I134" s="49">
        <f>300*13</f>
        <v>3900</v>
      </c>
      <c r="J134" s="43"/>
    </row>
    <row r="135" spans="1:10">
      <c r="A135" s="20"/>
      <c r="B135" s="15"/>
      <c r="C135" s="6"/>
      <c r="D135" s="6"/>
      <c r="E135" s="6"/>
      <c r="F135" s="82"/>
      <c r="G135" s="47" t="s">
        <v>148</v>
      </c>
      <c r="H135" s="48" t="s">
        <v>27</v>
      </c>
      <c r="I135" s="49">
        <v>800</v>
      </c>
      <c r="J135" s="43"/>
    </row>
    <row r="136" spans="1:10">
      <c r="A136" s="20"/>
      <c r="B136" s="15"/>
      <c r="C136" s="6"/>
      <c r="D136" s="6"/>
      <c r="E136" s="6"/>
      <c r="F136" s="82"/>
      <c r="G136" s="47" t="s">
        <v>231</v>
      </c>
      <c r="H136" s="48" t="s">
        <v>27</v>
      </c>
      <c r="I136" s="49">
        <f>667*3</f>
        <v>2001</v>
      </c>
      <c r="J136" s="43"/>
    </row>
    <row r="137" spans="1:10">
      <c r="A137" s="20"/>
      <c r="B137" s="15"/>
      <c r="C137" s="6"/>
      <c r="D137" s="6"/>
      <c r="E137" s="6"/>
      <c r="F137" s="82"/>
      <c r="G137" s="47" t="s">
        <v>149</v>
      </c>
      <c r="H137" s="48" t="s">
        <v>27</v>
      </c>
      <c r="I137" s="49">
        <v>3000</v>
      </c>
      <c r="J137" s="43"/>
    </row>
    <row r="138" spans="1:10">
      <c r="A138" s="20"/>
      <c r="B138" s="15"/>
      <c r="C138" s="6"/>
      <c r="D138" s="6"/>
      <c r="E138" s="6"/>
      <c r="F138" s="82"/>
      <c r="G138" s="47" t="s">
        <v>150</v>
      </c>
      <c r="H138" s="48" t="s">
        <v>27</v>
      </c>
      <c r="I138" s="49">
        <v>200</v>
      </c>
      <c r="J138" s="43"/>
    </row>
    <row r="139" spans="1:10">
      <c r="A139" s="20"/>
      <c r="B139" s="15"/>
      <c r="C139" s="6"/>
      <c r="D139" s="6"/>
      <c r="E139" s="6"/>
      <c r="F139" s="82"/>
      <c r="G139" s="51" t="s">
        <v>225</v>
      </c>
      <c r="H139" s="52" t="s">
        <v>27</v>
      </c>
      <c r="I139" s="53">
        <f>600*3</f>
        <v>1800</v>
      </c>
      <c r="J139" s="44"/>
    </row>
    <row r="140" spans="1:10">
      <c r="A140" s="20"/>
      <c r="B140" s="15"/>
      <c r="C140" s="6"/>
      <c r="D140" s="6"/>
      <c r="E140" s="6"/>
      <c r="F140" s="82"/>
      <c r="G140" s="102" t="s">
        <v>101</v>
      </c>
      <c r="H140" s="111"/>
      <c r="I140" s="104">
        <f>SUM(I141:I144)</f>
        <v>15598</v>
      </c>
      <c r="J140" s="42"/>
    </row>
    <row r="141" spans="1:10">
      <c r="A141" s="20"/>
      <c r="B141" s="15"/>
      <c r="C141" s="6"/>
      <c r="D141" s="6"/>
      <c r="E141" s="6"/>
      <c r="F141" s="82"/>
      <c r="G141" s="47" t="s">
        <v>290</v>
      </c>
      <c r="H141" s="48" t="s">
        <v>27</v>
      </c>
      <c r="I141" s="49">
        <f>300*20</f>
        <v>6000</v>
      </c>
      <c r="J141" s="43"/>
    </row>
    <row r="142" spans="1:10">
      <c r="A142" s="20"/>
      <c r="B142" s="15"/>
      <c r="C142" s="6"/>
      <c r="D142" s="6"/>
      <c r="E142" s="6"/>
      <c r="F142" s="82"/>
      <c r="G142" s="47" t="s">
        <v>291</v>
      </c>
      <c r="H142" s="48" t="s">
        <v>27</v>
      </c>
      <c r="I142" s="49">
        <f>400*3</f>
        <v>1200</v>
      </c>
      <c r="J142" s="43"/>
    </row>
    <row r="143" spans="1:10">
      <c r="A143" s="20"/>
      <c r="B143" s="15"/>
      <c r="C143" s="6"/>
      <c r="D143" s="6"/>
      <c r="E143" s="6"/>
      <c r="F143" s="82"/>
      <c r="G143" s="47" t="s">
        <v>226</v>
      </c>
      <c r="H143" s="48" t="s">
        <v>27</v>
      </c>
      <c r="I143" s="49">
        <f>666*3</f>
        <v>1998</v>
      </c>
      <c r="J143" s="43"/>
    </row>
    <row r="144" spans="1:10">
      <c r="A144" s="20"/>
      <c r="B144" s="15"/>
      <c r="C144" s="6"/>
      <c r="D144" s="6"/>
      <c r="E144" s="6"/>
      <c r="F144" s="82"/>
      <c r="G144" s="290" t="s">
        <v>292</v>
      </c>
      <c r="H144" s="291" t="s">
        <v>27</v>
      </c>
      <c r="I144" s="292">
        <f>800*8</f>
        <v>6400</v>
      </c>
      <c r="J144" s="302"/>
    </row>
    <row r="145" spans="1:10">
      <c r="A145" s="20"/>
      <c r="B145" s="15"/>
      <c r="C145" s="6"/>
      <c r="D145" s="6"/>
      <c r="E145" s="6"/>
      <c r="F145" s="82"/>
      <c r="G145" s="102" t="s">
        <v>267</v>
      </c>
      <c r="H145" s="48"/>
      <c r="I145" s="297">
        <f>SUM(I146:I146)</f>
        <v>260000</v>
      </c>
      <c r="J145" s="43"/>
    </row>
    <row r="146" spans="1:10" s="12" customFormat="1">
      <c r="A146" s="114"/>
      <c r="B146" s="115"/>
      <c r="C146" s="116"/>
      <c r="D146" s="116"/>
      <c r="E146" s="116"/>
      <c r="F146" s="117"/>
      <c r="G146" s="315" t="s">
        <v>343</v>
      </c>
      <c r="H146" s="48" t="s">
        <v>27</v>
      </c>
      <c r="I146" s="316">
        <f>1000*4*4*16.25</f>
        <v>260000</v>
      </c>
      <c r="J146" s="50"/>
    </row>
    <row r="147" spans="1:10" s="12" customFormat="1">
      <c r="A147" s="119" t="s">
        <v>23</v>
      </c>
      <c r="B147" s="120"/>
      <c r="C147" s="121">
        <v>488822</v>
      </c>
      <c r="D147" s="121"/>
      <c r="E147" s="121">
        <f>I147+I151+I156+I158+I165+I167+I169</f>
        <v>856811</v>
      </c>
      <c r="F147" s="122">
        <f>E147-C147</f>
        <v>367989</v>
      </c>
      <c r="G147" s="102" t="s">
        <v>32</v>
      </c>
      <c r="H147" s="111"/>
      <c r="I147" s="104">
        <f>SUM(I148:I150)</f>
        <v>39150</v>
      </c>
      <c r="J147" s="55"/>
    </row>
    <row r="148" spans="1:10" s="12" customFormat="1">
      <c r="A148" s="114"/>
      <c r="B148" s="115"/>
      <c r="C148" s="244"/>
      <c r="D148" s="244"/>
      <c r="E148" s="244"/>
      <c r="F148" s="244"/>
      <c r="G148" s="47" t="s">
        <v>234</v>
      </c>
      <c r="H148" s="48" t="s">
        <v>27</v>
      </c>
      <c r="I148" s="49">
        <f>550*53</f>
        <v>29150</v>
      </c>
      <c r="J148" s="50"/>
    </row>
    <row r="149" spans="1:10" s="12" customFormat="1">
      <c r="A149" s="114"/>
      <c r="B149" s="115"/>
      <c r="C149" s="116"/>
      <c r="D149" s="116"/>
      <c r="E149" s="116"/>
      <c r="F149" s="117"/>
      <c r="G149" s="47" t="s">
        <v>178</v>
      </c>
      <c r="H149" s="48" t="s">
        <v>27</v>
      </c>
      <c r="I149" s="49">
        <f>500*5</f>
        <v>2500</v>
      </c>
      <c r="J149" s="50"/>
    </row>
    <row r="150" spans="1:10" s="12" customFormat="1">
      <c r="A150" s="114"/>
      <c r="B150" s="115"/>
      <c r="C150" s="116"/>
      <c r="D150" s="116"/>
      <c r="E150" s="116"/>
      <c r="F150" s="117"/>
      <c r="G150" s="47" t="s">
        <v>176</v>
      </c>
      <c r="H150" s="48" t="s">
        <v>27</v>
      </c>
      <c r="I150" s="49">
        <f>1500*5</f>
        <v>7500</v>
      </c>
      <c r="J150" s="50"/>
    </row>
    <row r="151" spans="1:10" s="12" customFormat="1">
      <c r="A151" s="114"/>
      <c r="B151" s="115"/>
      <c r="C151" s="116"/>
      <c r="D151" s="116"/>
      <c r="E151" s="116"/>
      <c r="F151" s="117"/>
      <c r="G151" s="102" t="s">
        <v>33</v>
      </c>
      <c r="H151" s="111"/>
      <c r="I151" s="104">
        <f>SUM(I152:I155)</f>
        <v>39800</v>
      </c>
      <c r="J151" s="55"/>
    </row>
    <row r="152" spans="1:10" s="12" customFormat="1">
      <c r="A152" s="114"/>
      <c r="B152" s="115"/>
      <c r="C152" s="116"/>
      <c r="D152" s="116"/>
      <c r="E152" s="116"/>
      <c r="F152" s="117"/>
      <c r="G152" s="47" t="s">
        <v>198</v>
      </c>
      <c r="H152" s="48" t="s">
        <v>27</v>
      </c>
      <c r="I152" s="49">
        <f>650*2*6</f>
        <v>7800</v>
      </c>
      <c r="J152" s="50"/>
    </row>
    <row r="153" spans="1:10" s="12" customFormat="1">
      <c r="A153" s="114"/>
      <c r="B153" s="115"/>
      <c r="C153" s="116"/>
      <c r="D153" s="116"/>
      <c r="E153" s="116"/>
      <c r="F153" s="117"/>
      <c r="G153" s="47" t="s">
        <v>242</v>
      </c>
      <c r="H153" s="48" t="s">
        <v>27</v>
      </c>
      <c r="I153" s="49">
        <f>3500*2</f>
        <v>7000</v>
      </c>
      <c r="J153" s="50"/>
    </row>
    <row r="154" spans="1:10" s="12" customFormat="1">
      <c r="A154" s="114"/>
      <c r="B154" s="115"/>
      <c r="C154" s="116"/>
      <c r="D154" s="116"/>
      <c r="E154" s="116"/>
      <c r="F154" s="117"/>
      <c r="G154" s="47" t="s">
        <v>175</v>
      </c>
      <c r="H154" s="48" t="s">
        <v>27</v>
      </c>
      <c r="I154" s="49">
        <f>5000*2</f>
        <v>10000</v>
      </c>
      <c r="J154" s="50"/>
    </row>
    <row r="155" spans="1:10" s="12" customFormat="1">
      <c r="A155" s="114"/>
      <c r="B155" s="115"/>
      <c r="C155" s="116"/>
      <c r="D155" s="116"/>
      <c r="E155" s="116"/>
      <c r="F155" s="117"/>
      <c r="G155" s="51" t="s">
        <v>293</v>
      </c>
      <c r="H155" s="52" t="s">
        <v>27</v>
      </c>
      <c r="I155" s="53">
        <f>5000*3</f>
        <v>15000</v>
      </c>
      <c r="J155" s="54"/>
    </row>
    <row r="156" spans="1:10" s="12" customFormat="1" ht="15.75" customHeight="1">
      <c r="A156" s="114"/>
      <c r="B156" s="115"/>
      <c r="C156" s="116"/>
      <c r="D156" s="116"/>
      <c r="E156" s="116"/>
      <c r="F156" s="117"/>
      <c r="G156" s="102" t="s">
        <v>116</v>
      </c>
      <c r="H156" s="111"/>
      <c r="I156" s="104">
        <f>SUM(I157:I157)</f>
        <v>0</v>
      </c>
      <c r="J156" s="55"/>
    </row>
    <row r="157" spans="1:10">
      <c r="A157" s="20"/>
      <c r="B157" s="15"/>
      <c r="C157" s="6"/>
      <c r="D157" s="6"/>
      <c r="E157" s="6"/>
      <c r="F157" s="82"/>
      <c r="G157" s="47"/>
      <c r="H157" s="48" t="s">
        <v>27</v>
      </c>
      <c r="I157" s="49"/>
      <c r="J157" s="43"/>
    </row>
    <row r="158" spans="1:10">
      <c r="A158" s="20"/>
      <c r="B158" s="15"/>
      <c r="C158" s="6"/>
      <c r="D158" s="6"/>
      <c r="E158" s="6"/>
      <c r="F158" s="82"/>
      <c r="G158" s="102" t="s">
        <v>105</v>
      </c>
      <c r="H158" s="289"/>
      <c r="I158" s="104">
        <f>SUM(I159:I164)</f>
        <v>671400</v>
      </c>
      <c r="J158" s="42"/>
    </row>
    <row r="159" spans="1:10">
      <c r="A159" s="20"/>
      <c r="B159" s="15"/>
      <c r="C159" s="6"/>
      <c r="D159" s="6"/>
      <c r="E159" s="6"/>
      <c r="F159" s="82"/>
      <c r="G159" s="47" t="s">
        <v>294</v>
      </c>
      <c r="H159" s="48" t="s">
        <v>27</v>
      </c>
      <c r="I159" s="49">
        <f>40000*2</f>
        <v>80000</v>
      </c>
      <c r="J159" s="43"/>
    </row>
    <row r="160" spans="1:10">
      <c r="A160" s="20"/>
      <c r="B160" s="15"/>
      <c r="C160" s="6"/>
      <c r="D160" s="6"/>
      <c r="E160" s="6"/>
      <c r="F160" s="82"/>
      <c r="G160" s="47" t="s">
        <v>297</v>
      </c>
      <c r="H160" s="48" t="s">
        <v>27</v>
      </c>
      <c r="I160" s="49">
        <f>15000*2</f>
        <v>30000</v>
      </c>
      <c r="J160" s="43"/>
    </row>
    <row r="161" spans="1:10">
      <c r="A161" s="20"/>
      <c r="B161" s="15"/>
      <c r="C161" s="6"/>
      <c r="D161" s="6"/>
      <c r="E161" s="6"/>
      <c r="F161" s="82"/>
      <c r="G161" s="47" t="s">
        <v>295</v>
      </c>
      <c r="H161" s="48" t="s">
        <v>27</v>
      </c>
      <c r="I161" s="49">
        <f>7000*4</f>
        <v>28000</v>
      </c>
      <c r="J161" s="43"/>
    </row>
    <row r="162" spans="1:10">
      <c r="A162" s="20"/>
      <c r="B162" s="15"/>
      <c r="C162" s="6"/>
      <c r="D162" s="6"/>
      <c r="E162" s="6"/>
      <c r="F162" s="82"/>
      <c r="G162" s="47" t="s">
        <v>318</v>
      </c>
      <c r="H162" s="48" t="s">
        <v>27</v>
      </c>
      <c r="I162" s="49">
        <f>750*5*32</f>
        <v>120000</v>
      </c>
      <c r="J162" s="43"/>
    </row>
    <row r="163" spans="1:10">
      <c r="A163" s="20"/>
      <c r="B163" s="15"/>
      <c r="C163" s="6"/>
      <c r="D163" s="6"/>
      <c r="E163" s="6"/>
      <c r="F163" s="82"/>
      <c r="G163" s="47" t="s">
        <v>319</v>
      </c>
      <c r="H163" s="48" t="s">
        <v>27</v>
      </c>
      <c r="I163" s="49">
        <f>150*2*5*182</f>
        <v>273000</v>
      </c>
      <c r="J163" s="43"/>
    </row>
    <row r="164" spans="1:10">
      <c r="A164" s="20"/>
      <c r="B164" s="15"/>
      <c r="C164" s="6"/>
      <c r="D164" s="6"/>
      <c r="E164" s="6"/>
      <c r="F164" s="82"/>
      <c r="G164" s="290" t="s">
        <v>296</v>
      </c>
      <c r="H164" s="291" t="s">
        <v>27</v>
      </c>
      <c r="I164" s="292">
        <f>15600*9</f>
        <v>140400</v>
      </c>
      <c r="J164" s="302"/>
    </row>
    <row r="165" spans="1:10">
      <c r="A165" s="56"/>
      <c r="B165" s="15"/>
      <c r="C165" s="6"/>
      <c r="D165" s="6"/>
      <c r="E165" s="6"/>
      <c r="F165" s="128"/>
      <c r="G165" s="105" t="s">
        <v>248</v>
      </c>
      <c r="H165" s="293"/>
      <c r="I165" s="303">
        <f>SUM(I166)</f>
        <v>27000</v>
      </c>
      <c r="J165" s="304"/>
    </row>
    <row r="166" spans="1:10">
      <c r="A166" s="56"/>
      <c r="B166" s="15"/>
      <c r="C166" s="6"/>
      <c r="D166" s="6"/>
      <c r="E166" s="6"/>
      <c r="F166" s="128"/>
      <c r="G166" s="110" t="s">
        <v>300</v>
      </c>
      <c r="H166" s="291" t="s">
        <v>27</v>
      </c>
      <c r="I166" s="294">
        <f>750*1*12*3</f>
        <v>27000</v>
      </c>
      <c r="J166" s="305"/>
    </row>
    <row r="167" spans="1:10" s="12" customFormat="1">
      <c r="A167" s="118"/>
      <c r="B167" s="115"/>
      <c r="C167" s="116"/>
      <c r="D167" s="116"/>
      <c r="E167" s="116"/>
      <c r="F167" s="129"/>
      <c r="G167" s="130" t="s">
        <v>298</v>
      </c>
      <c r="H167" s="295"/>
      <c r="I167" s="318">
        <f>I168</f>
        <v>79461</v>
      </c>
      <c r="J167" s="131"/>
    </row>
    <row r="168" spans="1:10" s="12" customFormat="1">
      <c r="A168" s="118"/>
      <c r="B168" s="115"/>
      <c r="C168" s="116"/>
      <c r="D168" s="116"/>
      <c r="E168" s="116"/>
      <c r="F168" s="129"/>
      <c r="G168" s="317" t="s">
        <v>268</v>
      </c>
      <c r="H168" s="291" t="s">
        <v>27</v>
      </c>
      <c r="I168" s="294">
        <v>79461</v>
      </c>
      <c r="J168" s="50"/>
    </row>
    <row r="169" spans="1:10">
      <c r="A169" s="56"/>
      <c r="B169" s="15"/>
      <c r="C169" s="6"/>
      <c r="D169" s="6"/>
      <c r="E169" s="6"/>
      <c r="F169" s="82"/>
      <c r="G169" s="112" t="s">
        <v>299</v>
      </c>
      <c r="H169" s="113"/>
      <c r="I169" s="138">
        <v>0</v>
      </c>
      <c r="J169" s="42"/>
    </row>
    <row r="170" spans="1:10" s="11" customFormat="1" ht="16.5" customHeight="1">
      <c r="A170" s="91"/>
      <c r="B170" s="373" t="s">
        <v>79</v>
      </c>
      <c r="C170" s="5">
        <v>24000</v>
      </c>
      <c r="D170" s="5"/>
      <c r="E170" s="5">
        <f>SUM(I170)</f>
        <v>24000</v>
      </c>
      <c r="F170" s="122">
        <f>E170-C170</f>
        <v>0</v>
      </c>
      <c r="G170" s="102" t="s">
        <v>112</v>
      </c>
      <c r="H170" s="111"/>
      <c r="I170" s="104">
        <f>SUM(I171:I172)</f>
        <v>24000</v>
      </c>
      <c r="J170" s="84"/>
    </row>
    <row r="171" spans="1:10" s="11" customFormat="1" ht="16.5" customHeight="1">
      <c r="A171" s="91"/>
      <c r="B171" s="374"/>
      <c r="C171" s="244"/>
      <c r="D171" s="244"/>
      <c r="E171" s="244"/>
      <c r="F171" s="244"/>
      <c r="G171" s="47" t="s">
        <v>238</v>
      </c>
      <c r="H171" s="48" t="s">
        <v>27</v>
      </c>
      <c r="I171" s="49">
        <f>1500*2</f>
        <v>3000</v>
      </c>
      <c r="J171" s="85"/>
    </row>
    <row r="172" spans="1:10" ht="17.25" customHeight="1" thickBot="1">
      <c r="A172" s="56"/>
      <c r="B172" s="375"/>
      <c r="C172" s="6"/>
      <c r="D172" s="6"/>
      <c r="E172" s="6"/>
      <c r="F172" s="82"/>
      <c r="G172" s="47" t="s">
        <v>249</v>
      </c>
      <c r="H172" s="48" t="s">
        <v>27</v>
      </c>
      <c r="I172" s="49">
        <f>350*12*5</f>
        <v>21000</v>
      </c>
      <c r="J172" s="79"/>
    </row>
    <row r="173" spans="1:10" ht="16.5" customHeight="1">
      <c r="A173" s="369" t="s">
        <v>24</v>
      </c>
      <c r="B173" s="370"/>
      <c r="C173" s="208">
        <v>10000</v>
      </c>
      <c r="D173" s="208">
        <v>0</v>
      </c>
      <c r="E173" s="208">
        <f>E175</f>
        <v>20000</v>
      </c>
      <c r="F173" s="208">
        <f>E173-C173</f>
        <v>10000</v>
      </c>
      <c r="G173" s="201"/>
      <c r="H173" s="202" t="s">
        <v>27</v>
      </c>
      <c r="I173" s="203"/>
      <c r="J173" s="204"/>
    </row>
    <row r="174" spans="1:10" ht="16.5" customHeight="1">
      <c r="A174" s="193"/>
      <c r="B174" s="207"/>
      <c r="C174" s="245"/>
      <c r="D174" s="240"/>
      <c r="E174" s="245"/>
      <c r="F174" s="245"/>
      <c r="G174" s="195"/>
      <c r="H174" s="196"/>
      <c r="I174" s="197"/>
      <c r="J174" s="198"/>
    </row>
    <row r="175" spans="1:10" ht="16.5" customHeight="1">
      <c r="A175" s="19"/>
      <c r="B175" s="18" t="s">
        <v>45</v>
      </c>
      <c r="C175" s="300">
        <v>10000</v>
      </c>
      <c r="D175" s="144"/>
      <c r="E175" s="144">
        <f>I175</f>
        <v>20000</v>
      </c>
      <c r="F175" s="122">
        <f>E175-C175</f>
        <v>10000</v>
      </c>
      <c r="G175" s="40" t="s">
        <v>99</v>
      </c>
      <c r="H175" s="45"/>
      <c r="I175" s="41">
        <f>SUM(I176)</f>
        <v>20000</v>
      </c>
      <c r="J175" s="42"/>
    </row>
    <row r="176" spans="1:10" ht="16.5" customHeight="1" thickBot="1">
      <c r="A176" s="17"/>
      <c r="B176" s="142"/>
      <c r="C176" s="244"/>
      <c r="D176" s="242"/>
      <c r="E176" s="244"/>
      <c r="F176" s="244"/>
      <c r="G176" s="47" t="s">
        <v>301</v>
      </c>
      <c r="H176" s="48" t="s">
        <v>27</v>
      </c>
      <c r="I176" s="49">
        <f>5000*4</f>
        <v>20000</v>
      </c>
      <c r="J176" s="43"/>
    </row>
    <row r="177" spans="1:10" ht="16.5" customHeight="1">
      <c r="A177" s="369" t="s">
        <v>14</v>
      </c>
      <c r="B177" s="370"/>
      <c r="C177" s="208">
        <f>SUM(C179)</f>
        <v>1906994</v>
      </c>
      <c r="D177" s="208">
        <v>0</v>
      </c>
      <c r="E177" s="208">
        <f>SUM(E179)</f>
        <v>123414</v>
      </c>
      <c r="F177" s="208">
        <f>E177-C177</f>
        <v>-1783580</v>
      </c>
      <c r="G177" s="201"/>
      <c r="H177" s="202" t="s">
        <v>27</v>
      </c>
      <c r="I177" s="203"/>
      <c r="J177" s="204"/>
    </row>
    <row r="178" spans="1:10" ht="16.5" customHeight="1">
      <c r="A178" s="193"/>
      <c r="B178" s="207"/>
      <c r="C178" s="245"/>
      <c r="D178" s="242"/>
      <c r="E178" s="245"/>
      <c r="F178" s="245"/>
      <c r="G178" s="195"/>
      <c r="H178" s="196"/>
      <c r="I178" s="197"/>
      <c r="J178" s="198"/>
    </row>
    <row r="179" spans="1:10" ht="16.5" customHeight="1">
      <c r="A179" s="19"/>
      <c r="B179" s="143" t="s">
        <v>46</v>
      </c>
      <c r="C179" s="5">
        <v>1906994</v>
      </c>
      <c r="D179" s="5"/>
      <c r="E179" s="5">
        <f>I179</f>
        <v>123414</v>
      </c>
      <c r="F179" s="81">
        <f>E179-C179</f>
        <v>-1783580</v>
      </c>
      <c r="G179" s="40" t="s">
        <v>98</v>
      </c>
      <c r="H179" s="45"/>
      <c r="I179" s="41">
        <f>SUM(I180:I181)</f>
        <v>123414</v>
      </c>
      <c r="J179" s="42"/>
    </row>
    <row r="180" spans="1:10" ht="16.5" customHeight="1">
      <c r="A180" s="17"/>
      <c r="B180" s="142"/>
      <c r="C180" s="244"/>
      <c r="D180" s="6"/>
      <c r="E180" s="244"/>
      <c r="F180" s="244"/>
      <c r="G180" s="47" t="s">
        <v>302</v>
      </c>
      <c r="H180" s="48" t="s">
        <v>27</v>
      </c>
      <c r="I180" s="49">
        <v>103414</v>
      </c>
      <c r="J180" s="43"/>
    </row>
    <row r="181" spans="1:10" ht="16.5" customHeight="1" thickBot="1">
      <c r="A181" s="17"/>
      <c r="B181" s="142"/>
      <c r="C181" s="244"/>
      <c r="D181" s="242"/>
      <c r="E181" s="244"/>
      <c r="F181" s="244"/>
      <c r="G181" s="47" t="s">
        <v>209</v>
      </c>
      <c r="H181" s="48" t="s">
        <v>27</v>
      </c>
      <c r="I181" s="49">
        <f>10000*2</f>
        <v>20000</v>
      </c>
      <c r="J181" s="43"/>
    </row>
    <row r="182" spans="1:10" ht="16.5" customHeight="1">
      <c r="A182" s="365" t="s">
        <v>12</v>
      </c>
      <c r="B182" s="366"/>
      <c r="C182" s="199">
        <f>SUM(C184,C198,C200,C211,C218)</f>
        <v>2558491</v>
      </c>
      <c r="D182" s="199">
        <v>0</v>
      </c>
      <c r="E182" s="199">
        <f>SUM(E184,E198,E200,E211,E218)</f>
        <v>2312510</v>
      </c>
      <c r="F182" s="200">
        <f>E182-C182</f>
        <v>-245981</v>
      </c>
      <c r="G182" s="201"/>
      <c r="H182" s="202" t="s">
        <v>27</v>
      </c>
      <c r="I182" s="203"/>
      <c r="J182" s="204"/>
    </row>
    <row r="183" spans="1:10" ht="16.5" customHeight="1">
      <c r="A183" s="205"/>
      <c r="B183" s="206"/>
      <c r="C183" s="245"/>
      <c r="D183" s="245"/>
      <c r="E183" s="245"/>
      <c r="F183" s="245"/>
      <c r="G183" s="195"/>
      <c r="H183" s="196"/>
      <c r="I183" s="197"/>
      <c r="J183" s="198"/>
    </row>
    <row r="184" spans="1:10" ht="16.5" customHeight="1">
      <c r="A184" s="19"/>
      <c r="B184" s="18" t="s">
        <v>47</v>
      </c>
      <c r="C184" s="5">
        <v>102154</v>
      </c>
      <c r="D184" s="5"/>
      <c r="E184" s="5">
        <f>SUM(I184,I187,I190)</f>
        <v>45844</v>
      </c>
      <c r="F184" s="81">
        <f>E184-C184</f>
        <v>-56310</v>
      </c>
      <c r="G184" s="102" t="s">
        <v>134</v>
      </c>
      <c r="H184" s="111"/>
      <c r="I184" s="104">
        <f>SUM(I185:I186)</f>
        <v>0</v>
      </c>
      <c r="J184" s="42"/>
    </row>
    <row r="185" spans="1:10" ht="16.5" customHeight="1">
      <c r="A185" s="20"/>
      <c r="B185" s="15"/>
      <c r="C185" s="244"/>
      <c r="D185" s="242"/>
      <c r="E185" s="244"/>
      <c r="F185" s="244"/>
      <c r="G185" s="47"/>
      <c r="H185" s="48" t="s">
        <v>27</v>
      </c>
      <c r="I185" s="49">
        <v>0</v>
      </c>
      <c r="J185" s="43"/>
    </row>
    <row r="186" spans="1:10" ht="16.5" customHeight="1">
      <c r="A186" s="20"/>
      <c r="B186" s="15"/>
      <c r="C186" s="6"/>
      <c r="D186" s="6"/>
      <c r="E186" s="6"/>
      <c r="F186" s="82"/>
      <c r="G186" s="51"/>
      <c r="H186" s="52" t="s">
        <v>27</v>
      </c>
      <c r="I186" s="53">
        <v>0</v>
      </c>
      <c r="J186" s="44"/>
    </row>
    <row r="187" spans="1:10" ht="16.5" customHeight="1">
      <c r="A187" s="20"/>
      <c r="B187" s="15"/>
      <c r="C187" s="6"/>
      <c r="D187" s="6"/>
      <c r="E187" s="6"/>
      <c r="F187" s="82"/>
      <c r="G187" s="102" t="s">
        <v>135</v>
      </c>
      <c r="H187" s="111"/>
      <c r="I187" s="104">
        <f>SUM(I188:I189)</f>
        <v>0</v>
      </c>
      <c r="J187" s="55"/>
    </row>
    <row r="188" spans="1:10" ht="16.5" customHeight="1">
      <c r="A188" s="20"/>
      <c r="B188" s="15"/>
      <c r="C188" s="6"/>
      <c r="D188" s="6"/>
      <c r="E188" s="6"/>
      <c r="F188" s="82"/>
      <c r="G188" s="47"/>
      <c r="H188" s="48" t="s">
        <v>27</v>
      </c>
      <c r="I188" s="49">
        <v>0</v>
      </c>
      <c r="J188" s="50"/>
    </row>
    <row r="189" spans="1:10" ht="16.5" customHeight="1">
      <c r="A189" s="20"/>
      <c r="B189" s="15"/>
      <c r="C189" s="6"/>
      <c r="D189" s="6"/>
      <c r="E189" s="6"/>
      <c r="F189" s="82"/>
      <c r="G189" s="51"/>
      <c r="H189" s="52" t="s">
        <v>27</v>
      </c>
      <c r="I189" s="53">
        <v>0</v>
      </c>
      <c r="J189" s="54"/>
    </row>
    <row r="190" spans="1:10" ht="16.5" customHeight="1">
      <c r="A190" s="20"/>
      <c r="B190" s="15"/>
      <c r="C190" s="6"/>
      <c r="D190" s="6"/>
      <c r="E190" s="6"/>
      <c r="F190" s="82"/>
      <c r="G190" s="102" t="s">
        <v>152</v>
      </c>
      <c r="H190" s="111"/>
      <c r="I190" s="104">
        <f>SUM(I191:I197)</f>
        <v>45844</v>
      </c>
      <c r="J190" s="42"/>
    </row>
    <row r="191" spans="1:10" ht="16.5" customHeight="1">
      <c r="A191" s="20"/>
      <c r="B191" s="15"/>
      <c r="C191" s="6"/>
      <c r="D191" s="6"/>
      <c r="E191" s="6"/>
      <c r="F191" s="82"/>
      <c r="G191" s="47" t="s">
        <v>269</v>
      </c>
      <c r="H191" s="48" t="s">
        <v>27</v>
      </c>
      <c r="I191" s="49">
        <f>750*4*4</f>
        <v>12000</v>
      </c>
      <c r="J191" s="43"/>
    </row>
    <row r="192" spans="1:10" ht="16.5" customHeight="1">
      <c r="A192" s="20"/>
      <c r="B192" s="15"/>
      <c r="C192" s="6"/>
      <c r="D192" s="6"/>
      <c r="E192" s="6"/>
      <c r="F192" s="82"/>
      <c r="G192" s="47" t="s">
        <v>222</v>
      </c>
      <c r="H192" s="48" t="s">
        <v>27</v>
      </c>
      <c r="I192" s="49">
        <f>250*4*4</f>
        <v>4000</v>
      </c>
      <c r="J192" s="43"/>
    </row>
    <row r="193" spans="1:10" ht="16.5" customHeight="1">
      <c r="A193" s="20"/>
      <c r="B193" s="15"/>
      <c r="C193" s="6"/>
      <c r="D193" s="6"/>
      <c r="E193" s="6"/>
      <c r="F193" s="82"/>
      <c r="G193" s="47" t="s">
        <v>223</v>
      </c>
      <c r="H193" s="48" t="s">
        <v>27</v>
      </c>
      <c r="I193" s="49">
        <f>600*3</f>
        <v>1800</v>
      </c>
      <c r="J193" s="43"/>
    </row>
    <row r="194" spans="1:10" ht="16.5" customHeight="1">
      <c r="A194" s="20"/>
      <c r="B194" s="15"/>
      <c r="C194" s="6"/>
      <c r="D194" s="6"/>
      <c r="E194" s="6"/>
      <c r="F194" s="82"/>
      <c r="G194" s="47" t="s">
        <v>270</v>
      </c>
      <c r="H194" s="48" t="s">
        <v>27</v>
      </c>
      <c r="I194" s="49">
        <f>4584*4</f>
        <v>18336</v>
      </c>
      <c r="J194" s="43"/>
    </row>
    <row r="195" spans="1:10" ht="16.5" customHeight="1">
      <c r="A195" s="20"/>
      <c r="B195" s="15"/>
      <c r="C195" s="6"/>
      <c r="D195" s="6"/>
      <c r="E195" s="6"/>
      <c r="F195" s="82"/>
      <c r="G195" s="47" t="s">
        <v>224</v>
      </c>
      <c r="H195" s="48" t="s">
        <v>27</v>
      </c>
      <c r="I195" s="49">
        <f>1500*3</f>
        <v>4500</v>
      </c>
      <c r="J195" s="43"/>
    </row>
    <row r="196" spans="1:10" ht="16.5" customHeight="1">
      <c r="A196" s="20"/>
      <c r="B196" s="15"/>
      <c r="C196" s="6"/>
      <c r="D196" s="6"/>
      <c r="E196" s="6"/>
      <c r="F196" s="82"/>
      <c r="G196" s="47" t="s">
        <v>326</v>
      </c>
      <c r="H196" s="48" t="s">
        <v>27</v>
      </c>
      <c r="I196" s="49">
        <f>1226*4</f>
        <v>4904</v>
      </c>
      <c r="J196" s="43"/>
    </row>
    <row r="197" spans="1:10" ht="16.5" customHeight="1">
      <c r="A197" s="20"/>
      <c r="B197" s="14"/>
      <c r="C197" s="7"/>
      <c r="D197" s="7"/>
      <c r="E197" s="7"/>
      <c r="F197" s="83"/>
      <c r="G197" s="51" t="s">
        <v>327</v>
      </c>
      <c r="H197" s="52" t="s">
        <v>27</v>
      </c>
      <c r="I197" s="53">
        <v>304</v>
      </c>
      <c r="J197" s="44"/>
    </row>
    <row r="198" spans="1:10" s="126" customFormat="1" ht="16.5" customHeight="1">
      <c r="A198" s="125"/>
      <c r="B198" s="212" t="s">
        <v>82</v>
      </c>
      <c r="C198" s="237">
        <v>0</v>
      </c>
      <c r="D198" s="237">
        <v>0</v>
      </c>
      <c r="E198" s="237">
        <v>0</v>
      </c>
      <c r="F198" s="81">
        <f>E198-C198</f>
        <v>0</v>
      </c>
      <c r="G198" s="102" t="s">
        <v>35</v>
      </c>
      <c r="H198" s="111"/>
      <c r="I198" s="209">
        <v>0</v>
      </c>
      <c r="J198" s="127"/>
    </row>
    <row r="199" spans="1:10" s="126" customFormat="1" ht="16.5" customHeight="1">
      <c r="A199" s="125"/>
      <c r="B199" s="210"/>
      <c r="C199" s="244"/>
      <c r="D199" s="244"/>
      <c r="E199" s="244"/>
      <c r="F199" s="244"/>
      <c r="G199" s="112"/>
      <c r="H199" s="113"/>
      <c r="I199" s="138"/>
      <c r="J199" s="211"/>
    </row>
    <row r="200" spans="1:10" ht="16.5" customHeight="1">
      <c r="A200" s="21"/>
      <c r="B200" s="18" t="s">
        <v>48</v>
      </c>
      <c r="C200" s="5">
        <v>689328</v>
      </c>
      <c r="D200" s="5"/>
      <c r="E200" s="5">
        <f>SUM(I200,I202,I206,I204,I209)</f>
        <v>1217450</v>
      </c>
      <c r="F200" s="81">
        <f>E200-C200</f>
        <v>528122</v>
      </c>
      <c r="G200" s="102" t="s">
        <v>117</v>
      </c>
      <c r="H200" s="111"/>
      <c r="I200" s="104">
        <f>SUM(I201)</f>
        <v>0</v>
      </c>
      <c r="J200" s="46"/>
    </row>
    <row r="201" spans="1:10">
      <c r="A201" s="20"/>
      <c r="B201" s="15"/>
      <c r="C201" s="244"/>
      <c r="D201" s="244"/>
      <c r="E201" s="244"/>
      <c r="F201" s="244"/>
      <c r="G201" s="51"/>
      <c r="H201" s="52" t="s">
        <v>27</v>
      </c>
      <c r="I201" s="53"/>
      <c r="J201" s="44"/>
    </row>
    <row r="202" spans="1:10">
      <c r="A202" s="20"/>
      <c r="B202" s="15"/>
      <c r="C202" s="6"/>
      <c r="D202" s="6"/>
      <c r="E202" s="6"/>
      <c r="F202" s="82"/>
      <c r="G202" s="102" t="s">
        <v>155</v>
      </c>
      <c r="H202" s="111"/>
      <c r="I202" s="104">
        <f>SUM(I203:I203)</f>
        <v>0</v>
      </c>
      <c r="J202" s="42"/>
    </row>
    <row r="203" spans="1:10" s="12" customFormat="1">
      <c r="A203" s="114"/>
      <c r="B203" s="115"/>
      <c r="C203" s="116"/>
      <c r="D203" s="116"/>
      <c r="E203" s="116"/>
      <c r="F203" s="117"/>
      <c r="G203" s="47"/>
      <c r="H203" s="48"/>
      <c r="I203" s="49"/>
      <c r="J203" s="50"/>
    </row>
    <row r="204" spans="1:10">
      <c r="A204" s="20"/>
      <c r="B204" s="15"/>
      <c r="C204" s="6"/>
      <c r="D204" s="6"/>
      <c r="E204" s="6"/>
      <c r="F204" s="128"/>
      <c r="G204" s="299" t="s">
        <v>182</v>
      </c>
      <c r="H204" s="392"/>
      <c r="I204" s="393">
        <f>I205</f>
        <v>0</v>
      </c>
      <c r="J204" s="306"/>
    </row>
    <row r="205" spans="1:10">
      <c r="A205" s="20"/>
      <c r="B205" s="15"/>
      <c r="C205" s="6"/>
      <c r="D205" s="6"/>
      <c r="E205" s="6"/>
      <c r="F205" s="128"/>
      <c r="G205" s="110"/>
      <c r="H205" s="291"/>
      <c r="I205" s="101"/>
      <c r="J205" s="43"/>
    </row>
    <row r="206" spans="1:10">
      <c r="A206" s="20"/>
      <c r="B206" s="15"/>
      <c r="C206" s="6"/>
      <c r="D206" s="6"/>
      <c r="E206" s="6"/>
      <c r="F206" s="82"/>
      <c r="G206" s="112" t="s">
        <v>181</v>
      </c>
      <c r="H206" s="48"/>
      <c r="I206" s="297">
        <f>SUM(I207:I208)</f>
        <v>122400</v>
      </c>
      <c r="J206" s="43"/>
    </row>
    <row r="207" spans="1:10">
      <c r="A207" s="20"/>
      <c r="B207" s="15"/>
      <c r="C207" s="6"/>
      <c r="D207" s="6"/>
      <c r="E207" s="6"/>
      <c r="F207" s="82"/>
      <c r="G207" s="108" t="s">
        <v>303</v>
      </c>
      <c r="H207" s="98" t="s">
        <v>27</v>
      </c>
      <c r="I207" s="109">
        <f>16*20*180</f>
        <v>57600</v>
      </c>
      <c r="J207" s="59"/>
    </row>
    <row r="208" spans="1:10">
      <c r="A208" s="20"/>
      <c r="B208" s="15"/>
      <c r="C208" s="6"/>
      <c r="D208" s="6"/>
      <c r="E208" s="6"/>
      <c r="F208" s="82"/>
      <c r="G208" s="110" t="s">
        <v>304</v>
      </c>
      <c r="H208" s="100" t="s">
        <v>27</v>
      </c>
      <c r="I208" s="101">
        <f>18*20*180</f>
        <v>64800</v>
      </c>
      <c r="J208" s="59"/>
    </row>
    <row r="209" spans="1:13">
      <c r="A209" s="20"/>
      <c r="B209" s="15"/>
      <c r="C209" s="6"/>
      <c r="D209" s="6"/>
      <c r="E209" s="6"/>
      <c r="F209" s="82"/>
      <c r="G209" s="299" t="s">
        <v>305</v>
      </c>
      <c r="H209" s="319"/>
      <c r="I209" s="320">
        <f>SUM(I210)</f>
        <v>1095050</v>
      </c>
      <c r="J209" s="59"/>
    </row>
    <row r="210" spans="1:13">
      <c r="A210" s="20"/>
      <c r="B210" s="15"/>
      <c r="C210" s="6"/>
      <c r="D210" s="6"/>
      <c r="E210" s="6"/>
      <c r="F210" s="82"/>
      <c r="G210" s="108" t="s">
        <v>332</v>
      </c>
      <c r="H210" s="100" t="s">
        <v>27</v>
      </c>
      <c r="I210" s="109">
        <f>110*55*181</f>
        <v>1095050</v>
      </c>
      <c r="J210" s="59"/>
    </row>
    <row r="211" spans="1:13" ht="16.5" customHeight="1">
      <c r="A211" s="21"/>
      <c r="B211" s="367" t="s">
        <v>49</v>
      </c>
      <c r="C211" s="5">
        <v>838400</v>
      </c>
      <c r="D211" s="5"/>
      <c r="E211" s="5">
        <f>SUM(I211,I215)</f>
        <v>454400</v>
      </c>
      <c r="F211" s="81">
        <f>E211-C211</f>
        <v>-384000</v>
      </c>
      <c r="G211" s="102" t="s">
        <v>95</v>
      </c>
      <c r="H211" s="111"/>
      <c r="I211" s="104">
        <v>454400</v>
      </c>
      <c r="J211" s="55"/>
    </row>
    <row r="212" spans="1:13">
      <c r="A212" s="26"/>
      <c r="B212" s="368"/>
      <c r="C212" s="244"/>
      <c r="D212" s="244"/>
      <c r="E212" s="244"/>
      <c r="F212" s="244"/>
      <c r="G212" s="47" t="s">
        <v>144</v>
      </c>
      <c r="H212" s="48" t="s">
        <v>27</v>
      </c>
      <c r="I212" s="49">
        <v>384000</v>
      </c>
      <c r="J212" s="50"/>
    </row>
    <row r="213" spans="1:13">
      <c r="A213" s="20"/>
      <c r="B213" s="15"/>
      <c r="C213" s="6"/>
      <c r="D213" s="6"/>
      <c r="E213" s="6"/>
      <c r="F213" s="82"/>
      <c r="G213" s="47" t="s">
        <v>145</v>
      </c>
      <c r="H213" s="48" t="s">
        <v>27</v>
      </c>
      <c r="I213" s="49">
        <v>38400</v>
      </c>
      <c r="J213" s="50"/>
      <c r="M213" s="3"/>
    </row>
    <row r="214" spans="1:13">
      <c r="A214" s="20"/>
      <c r="B214" s="15"/>
      <c r="C214" s="6"/>
      <c r="D214" s="6"/>
      <c r="E214" s="6"/>
      <c r="F214" s="82"/>
      <c r="G214" s="47" t="s">
        <v>146</v>
      </c>
      <c r="H214" s="48" t="s">
        <v>27</v>
      </c>
      <c r="I214" s="49">
        <v>32000</v>
      </c>
      <c r="J214" s="50"/>
      <c r="M214" s="3"/>
    </row>
    <row r="215" spans="1:13">
      <c r="A215" s="20"/>
      <c r="B215" s="15"/>
      <c r="C215" s="6"/>
      <c r="D215" s="6"/>
      <c r="E215" s="6"/>
      <c r="F215" s="82"/>
      <c r="G215" s="102" t="s">
        <v>91</v>
      </c>
      <c r="H215" s="111"/>
      <c r="I215" s="104">
        <f>SUM(I216:I217)</f>
        <v>0</v>
      </c>
      <c r="J215" s="42"/>
      <c r="M215" s="3"/>
    </row>
    <row r="216" spans="1:13">
      <c r="A216" s="20"/>
      <c r="B216" s="15"/>
      <c r="C216" s="6"/>
      <c r="D216" s="6"/>
      <c r="E216" s="6"/>
      <c r="F216" s="82"/>
      <c r="G216" s="47"/>
      <c r="H216" s="48" t="s">
        <v>27</v>
      </c>
      <c r="I216" s="49"/>
      <c r="J216" s="43"/>
      <c r="M216" s="3"/>
    </row>
    <row r="217" spans="1:13">
      <c r="A217" s="20"/>
      <c r="B217" s="15"/>
      <c r="C217" s="6"/>
      <c r="D217" s="6"/>
      <c r="E217" s="6"/>
      <c r="F217" s="82"/>
      <c r="G217" s="47"/>
      <c r="H217" s="48" t="s">
        <v>27</v>
      </c>
      <c r="I217" s="49"/>
      <c r="J217" s="43"/>
      <c r="M217" s="3"/>
    </row>
    <row r="218" spans="1:13" ht="16.5" customHeight="1">
      <c r="A218" s="21"/>
      <c r="B218" s="137" t="s">
        <v>50</v>
      </c>
      <c r="C218" s="5">
        <v>928609</v>
      </c>
      <c r="D218" s="5"/>
      <c r="E218" s="5">
        <f>SUM(I218,I222,I225)</f>
        <v>594816</v>
      </c>
      <c r="F218" s="81">
        <f>E218-C218</f>
        <v>-333793</v>
      </c>
      <c r="G218" s="102" t="s">
        <v>36</v>
      </c>
      <c r="H218" s="289"/>
      <c r="I218" s="104">
        <f>SUM(I219:I221)</f>
        <v>571480</v>
      </c>
      <c r="J218" s="42"/>
    </row>
    <row r="219" spans="1:13">
      <c r="A219" s="20"/>
      <c r="B219" s="15"/>
      <c r="C219" s="244"/>
      <c r="D219" s="244"/>
      <c r="E219" s="244"/>
      <c r="F219" s="244"/>
      <c r="G219" s="47" t="s">
        <v>315</v>
      </c>
      <c r="H219" s="48" t="s">
        <v>27</v>
      </c>
      <c r="I219" s="49">
        <f>325*1*5*150</f>
        <v>243750</v>
      </c>
      <c r="J219" s="43"/>
    </row>
    <row r="220" spans="1:13">
      <c r="A220" s="20"/>
      <c r="B220" s="15"/>
      <c r="C220" s="6"/>
      <c r="D220" s="6"/>
      <c r="E220" s="6"/>
      <c r="F220" s="82"/>
      <c r="G220" s="47" t="s">
        <v>316</v>
      </c>
      <c r="H220" s="48" t="s">
        <v>27</v>
      </c>
      <c r="I220" s="49">
        <f>425*150*5</f>
        <v>318750</v>
      </c>
      <c r="J220" s="43"/>
      <c r="M220" s="311"/>
    </row>
    <row r="221" spans="1:13">
      <c r="A221" s="20"/>
      <c r="B221" s="15"/>
      <c r="C221" s="6"/>
      <c r="D221" s="6"/>
      <c r="E221" s="6"/>
      <c r="F221" s="82"/>
      <c r="G221" s="47" t="s">
        <v>317</v>
      </c>
      <c r="H221" s="48" t="s">
        <v>27</v>
      </c>
      <c r="I221" s="49">
        <f>4490*2</f>
        <v>8980</v>
      </c>
      <c r="J221" s="43"/>
    </row>
    <row r="222" spans="1:13">
      <c r="A222" s="20"/>
      <c r="B222" s="15"/>
      <c r="C222" s="6"/>
      <c r="D222" s="6"/>
      <c r="E222" s="6"/>
      <c r="F222" s="82"/>
      <c r="G222" s="102" t="s">
        <v>132</v>
      </c>
      <c r="H222" s="111"/>
      <c r="I222" s="104">
        <f>SUM(I223:I224)</f>
        <v>11668</v>
      </c>
      <c r="J222" s="42"/>
    </row>
    <row r="223" spans="1:13">
      <c r="A223" s="20"/>
      <c r="B223" s="15"/>
      <c r="C223" s="6"/>
      <c r="D223" s="6"/>
      <c r="E223" s="6"/>
      <c r="F223" s="82"/>
      <c r="G223" s="47" t="s">
        <v>308</v>
      </c>
      <c r="H223" s="48" t="s">
        <v>27</v>
      </c>
      <c r="I223" s="49">
        <f>450*4*2</f>
        <v>3600</v>
      </c>
      <c r="J223" s="43"/>
    </row>
    <row r="224" spans="1:13">
      <c r="A224" s="20"/>
      <c r="B224" s="15"/>
      <c r="C224" s="6"/>
      <c r="D224" s="6"/>
      <c r="E224" s="6"/>
      <c r="F224" s="82"/>
      <c r="G224" s="47" t="s">
        <v>306</v>
      </c>
      <c r="H224" s="48" t="s">
        <v>27</v>
      </c>
      <c r="I224" s="49">
        <f>2017*4</f>
        <v>8068</v>
      </c>
      <c r="J224" s="43"/>
    </row>
    <row r="225" spans="1:10">
      <c r="A225" s="20"/>
      <c r="B225" s="15"/>
      <c r="C225" s="6"/>
      <c r="D225" s="6"/>
      <c r="E225" s="6"/>
      <c r="F225" s="82"/>
      <c r="G225" s="102" t="s">
        <v>133</v>
      </c>
      <c r="H225" s="111"/>
      <c r="I225" s="104">
        <f>SUM(I226:I227)</f>
        <v>11668</v>
      </c>
      <c r="J225" s="42"/>
    </row>
    <row r="226" spans="1:10">
      <c r="A226" s="20"/>
      <c r="B226" s="15"/>
      <c r="C226" s="6"/>
      <c r="D226" s="6"/>
      <c r="E226" s="6"/>
      <c r="F226" s="82"/>
      <c r="G226" s="47" t="s">
        <v>321</v>
      </c>
      <c r="H226" s="48" t="s">
        <v>27</v>
      </c>
      <c r="I226" s="49">
        <f>450*4*2</f>
        <v>3600</v>
      </c>
      <c r="J226" s="43"/>
    </row>
    <row r="227" spans="1:10" ht="17.25" thickBot="1">
      <c r="A227" s="20"/>
      <c r="B227" s="15"/>
      <c r="C227" s="6"/>
      <c r="D227" s="6"/>
      <c r="E227" s="6"/>
      <c r="F227" s="82"/>
      <c r="G227" s="47" t="s">
        <v>307</v>
      </c>
      <c r="H227" s="48" t="s">
        <v>27</v>
      </c>
      <c r="I227" s="49">
        <f>2017*4</f>
        <v>8068</v>
      </c>
      <c r="J227" s="43"/>
    </row>
    <row r="228" spans="1:10" ht="16.5" customHeight="1">
      <c r="A228" s="365" t="s">
        <v>25</v>
      </c>
      <c r="B228" s="366"/>
      <c r="C228" s="239">
        <v>0</v>
      </c>
      <c r="D228" s="239">
        <v>0</v>
      </c>
      <c r="E228" s="239">
        <v>0</v>
      </c>
      <c r="F228" s="239">
        <v>0</v>
      </c>
      <c r="G228" s="201"/>
      <c r="H228" s="202" t="s">
        <v>27</v>
      </c>
      <c r="I228" s="203"/>
      <c r="J228" s="204"/>
    </row>
    <row r="229" spans="1:10" ht="16.5" customHeight="1">
      <c r="A229" s="205"/>
      <c r="B229" s="213"/>
      <c r="C229" s="245"/>
      <c r="D229" s="245"/>
      <c r="E229" s="245"/>
      <c r="F229" s="245"/>
      <c r="G229" s="214"/>
      <c r="H229" s="215"/>
      <c r="I229" s="216"/>
      <c r="J229" s="217"/>
    </row>
    <row r="230" spans="1:10" ht="16.5" customHeight="1">
      <c r="A230" s="17"/>
      <c r="B230" s="224" t="s">
        <v>51</v>
      </c>
      <c r="C230" s="237">
        <v>0</v>
      </c>
      <c r="D230" s="237">
        <v>0</v>
      </c>
      <c r="E230" s="237">
        <v>0</v>
      </c>
      <c r="F230" s="237">
        <v>0</v>
      </c>
      <c r="G230" s="40" t="s">
        <v>37</v>
      </c>
      <c r="H230" s="218"/>
      <c r="I230" s="219">
        <v>0</v>
      </c>
      <c r="J230" s="42"/>
    </row>
    <row r="231" spans="1:10" ht="16.5" customHeight="1">
      <c r="A231" s="17"/>
      <c r="B231" s="220"/>
      <c r="C231" s="244"/>
      <c r="D231" s="244"/>
      <c r="E231" s="244"/>
      <c r="F231" s="244"/>
      <c r="G231" s="221"/>
      <c r="H231" s="222"/>
      <c r="I231" s="223"/>
      <c r="J231" s="44"/>
    </row>
    <row r="232" spans="1:10" ht="16.5" customHeight="1">
      <c r="A232" s="17"/>
      <c r="B232" s="225" t="s">
        <v>52</v>
      </c>
      <c r="C232" s="237">
        <v>0</v>
      </c>
      <c r="D232" s="237">
        <v>0</v>
      </c>
      <c r="E232" s="237">
        <v>0</v>
      </c>
      <c r="F232" s="237">
        <v>0</v>
      </c>
      <c r="G232" s="40" t="s">
        <v>38</v>
      </c>
      <c r="H232" s="218"/>
      <c r="I232" s="219">
        <v>0</v>
      </c>
      <c r="J232" s="42"/>
    </row>
    <row r="233" spans="1:10" ht="16.5" customHeight="1">
      <c r="A233" s="17"/>
      <c r="B233" s="226"/>
      <c r="C233" s="244"/>
      <c r="D233" s="244"/>
      <c r="E233" s="244"/>
      <c r="F233" s="244"/>
      <c r="G233" s="221"/>
      <c r="H233" s="222"/>
      <c r="I233" s="223"/>
      <c r="J233" s="44"/>
    </row>
    <row r="234" spans="1:10" ht="16.5" customHeight="1">
      <c r="A234" s="17"/>
      <c r="B234" s="224" t="s">
        <v>53</v>
      </c>
      <c r="C234" s="237">
        <v>0</v>
      </c>
      <c r="D234" s="237">
        <v>0</v>
      </c>
      <c r="E234" s="237">
        <v>0</v>
      </c>
      <c r="F234" s="237">
        <v>0</v>
      </c>
      <c r="G234" s="40" t="s">
        <v>39</v>
      </c>
      <c r="H234" s="218"/>
      <c r="I234" s="219">
        <v>0</v>
      </c>
      <c r="J234" s="42"/>
    </row>
    <row r="235" spans="1:10" ht="16.5" customHeight="1">
      <c r="A235" s="17"/>
      <c r="B235" s="220"/>
      <c r="C235" s="244"/>
      <c r="D235" s="244"/>
      <c r="E235" s="244"/>
      <c r="F235" s="244"/>
      <c r="G235" s="221"/>
      <c r="H235" s="222"/>
      <c r="I235" s="223"/>
      <c r="J235" s="44"/>
    </row>
    <row r="236" spans="1:10" ht="16.5" customHeight="1">
      <c r="A236" s="17"/>
      <c r="B236" s="224" t="s">
        <v>54</v>
      </c>
      <c r="C236" s="237">
        <v>0</v>
      </c>
      <c r="D236" s="237">
        <v>0</v>
      </c>
      <c r="E236" s="237">
        <v>0</v>
      </c>
      <c r="F236" s="237">
        <v>0</v>
      </c>
      <c r="G236" s="40" t="s">
        <v>40</v>
      </c>
      <c r="H236" s="218"/>
      <c r="I236" s="219">
        <v>0</v>
      </c>
      <c r="J236" s="42"/>
    </row>
    <row r="237" spans="1:10" ht="16.5" customHeight="1" thickBot="1">
      <c r="A237" s="235"/>
      <c r="B237" s="247"/>
      <c r="C237" s="248"/>
      <c r="D237" s="248"/>
      <c r="E237" s="248"/>
      <c r="F237" s="248"/>
      <c r="G237" s="249"/>
      <c r="H237" s="250"/>
      <c r="I237" s="251"/>
      <c r="J237" s="94"/>
    </row>
    <row r="238" spans="1:10" ht="16.5" customHeight="1">
      <c r="A238" s="363" t="s">
        <v>26</v>
      </c>
      <c r="B238" s="364"/>
      <c r="C238" s="253">
        <f>SUM(C228,C182,C177,C173,C43,C5)</f>
        <v>17446116</v>
      </c>
      <c r="D238" s="253">
        <v>0</v>
      </c>
      <c r="E238" s="253">
        <f>SUM(E228,E182,E177,E173,E43,E5)</f>
        <v>16431276</v>
      </c>
      <c r="F238" s="253">
        <f>E238-C238</f>
        <v>-1014840</v>
      </c>
      <c r="G238" s="231"/>
      <c r="H238" s="232"/>
      <c r="I238" s="229"/>
      <c r="J238" s="227"/>
    </row>
    <row r="239" spans="1:10" ht="17.25" thickBot="1">
      <c r="A239" s="235"/>
      <c r="B239" s="236"/>
      <c r="C239" s="255"/>
      <c r="D239" s="254"/>
      <c r="E239" s="255"/>
      <c r="F239" s="255"/>
      <c r="G239" s="233"/>
      <c r="H239" s="234"/>
      <c r="I239" s="230"/>
      <c r="J239" s="228"/>
    </row>
    <row r="240" spans="1:10">
      <c r="F240" s="8"/>
    </row>
  </sheetData>
  <mergeCells count="17">
    <mergeCell ref="A5:B5"/>
    <mergeCell ref="A3:B4"/>
    <mergeCell ref="J3:J4"/>
    <mergeCell ref="A1:J1"/>
    <mergeCell ref="A2:J2"/>
    <mergeCell ref="G3:I4"/>
    <mergeCell ref="B22:B23"/>
    <mergeCell ref="B38:B40"/>
    <mergeCell ref="A238:B238"/>
    <mergeCell ref="A228:B228"/>
    <mergeCell ref="B211:B212"/>
    <mergeCell ref="A173:B173"/>
    <mergeCell ref="A177:B177"/>
    <mergeCell ref="A182:B182"/>
    <mergeCell ref="A43:B43"/>
    <mergeCell ref="B86:B87"/>
    <mergeCell ref="B170:B172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표지</vt:lpstr>
      <vt:lpstr>총칙</vt:lpstr>
      <vt:lpstr>세입</vt:lpstr>
      <vt:lpstr>세출</vt:lpstr>
      <vt:lpstr>세입!Print_Area</vt:lpstr>
      <vt:lpstr>세출!Print_Area</vt:lpstr>
      <vt:lpstr>세입!Print_Titles</vt:lpstr>
      <vt:lpstr>세출!Print_Titles</vt:lpstr>
    </vt:vector>
  </TitlesOfParts>
  <Company>TaipeiKoreanSchool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student_02</dc:creator>
  <cp:lastModifiedBy>Owner</cp:lastModifiedBy>
  <cp:lastPrinted>2018-11-29T00:16:52Z</cp:lastPrinted>
  <dcterms:created xsi:type="dcterms:W3CDTF">2016-01-18T07:48:47Z</dcterms:created>
  <dcterms:modified xsi:type="dcterms:W3CDTF">2018-12-18T01:31:20Z</dcterms:modified>
</cp:coreProperties>
</file>